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Zypresse\Desktop\"/>
    </mc:Choice>
  </mc:AlternateContent>
  <bookViews>
    <workbookView xWindow="0" yWindow="75" windowWidth="19320" windowHeight="11505"/>
  </bookViews>
  <sheets>
    <sheet name="Eingabe1" sheetId="10" r:id="rId1"/>
    <sheet name="Angebot" sheetId="13" r:id="rId2"/>
    <sheet name="Rechnung" sheetId="11" state="hidden" r:id="rId3"/>
    <sheet name="Lieferschein" sheetId="16" state="hidden" r:id="rId4"/>
    <sheet name="Preise" sheetId="14" state="hidden" r:id="rId5"/>
    <sheet name="Rechner" sheetId="3" state="hidden" r:id="rId6"/>
  </sheets>
  <calcPr calcId="152511"/>
</workbook>
</file>

<file path=xl/calcChain.xml><?xml version="1.0" encoding="utf-8"?>
<calcChain xmlns="http://schemas.openxmlformats.org/spreadsheetml/2006/main">
  <c r="A29" i="13" l="1"/>
  <c r="AB117" i="3"/>
  <c r="X117" i="3"/>
  <c r="T117" i="3" l="1"/>
  <c r="S117" i="3"/>
  <c r="AC132" i="3" l="1"/>
  <c r="E53" i="3" l="1"/>
  <c r="C35" i="13"/>
  <c r="F33" i="3"/>
  <c r="F31" i="3"/>
  <c r="F29" i="3"/>
  <c r="F27" i="3"/>
  <c r="F25" i="3"/>
  <c r="F23" i="3"/>
  <c r="I13" i="10" l="1"/>
  <c r="H13" i="10"/>
  <c r="G13" i="10"/>
  <c r="F13" i="10"/>
  <c r="D13" i="10"/>
  <c r="H19" i="11" l="1"/>
  <c r="F19" i="13"/>
  <c r="E19" i="11"/>
  <c r="B19" i="13"/>
  <c r="D90" i="3"/>
  <c r="C26" i="11"/>
  <c r="C25" i="11"/>
  <c r="A26" i="11"/>
  <c r="A25" i="11"/>
  <c r="A31" i="13"/>
  <c r="A30" i="13"/>
  <c r="W28" i="3" l="1"/>
  <c r="W27" i="3"/>
  <c r="S23" i="10"/>
  <c r="S22" i="10"/>
  <c r="F30" i="10"/>
  <c r="F29" i="10"/>
  <c r="I25" i="11" l="1"/>
  <c r="M29" i="10"/>
  <c r="I26" i="11"/>
  <c r="M30" i="10"/>
  <c r="T23" i="10"/>
  <c r="T22" i="10"/>
  <c r="A24" i="11"/>
  <c r="O29" i="10" l="1"/>
  <c r="O30" i="10"/>
  <c r="N35" i="3"/>
  <c r="S149" i="3" l="1"/>
  <c r="F23" i="10" s="1"/>
  <c r="N149" i="3"/>
  <c r="N147" i="3"/>
  <c r="W25" i="3" s="1"/>
  <c r="E29" i="13" l="1"/>
  <c r="S20" i="10"/>
  <c r="W26" i="3"/>
  <c r="S19" i="10"/>
  <c r="B29" i="13"/>
  <c r="C24" i="11"/>
  <c r="B28" i="13"/>
  <c r="C23" i="11"/>
  <c r="B30" i="13"/>
  <c r="B31" i="13"/>
  <c r="X147" i="3"/>
  <c r="C27" i="11" s="1"/>
  <c r="B32" i="13" l="1"/>
  <c r="S24" i="10"/>
  <c r="W29" i="3"/>
  <c r="W80" i="3"/>
  <c r="H2" i="10" l="1"/>
  <c r="B28" i="16" s="1"/>
  <c r="A23" i="16"/>
  <c r="A12" i="16"/>
  <c r="B7" i="16"/>
  <c r="A7" i="16"/>
  <c r="A6" i="16"/>
  <c r="A5" i="16"/>
  <c r="A4" i="16"/>
  <c r="A3" i="16"/>
  <c r="C11" i="11" l="1"/>
  <c r="B15" i="11"/>
  <c r="E33" i="3" l="1"/>
  <c r="E31" i="3"/>
  <c r="E29" i="3"/>
  <c r="E27" i="3"/>
  <c r="E25" i="3"/>
  <c r="E23" i="3"/>
  <c r="D33" i="3"/>
  <c r="D29" i="3"/>
  <c r="D27" i="3"/>
  <c r="D25" i="3"/>
  <c r="D23" i="3"/>
  <c r="A7" i="11" l="1"/>
  <c r="B9" i="11"/>
  <c r="A6" i="11"/>
  <c r="A5" i="11"/>
  <c r="A4" i="11"/>
  <c r="R36" i="3" l="1"/>
  <c r="G33" i="3" l="1"/>
  <c r="H33" i="3" s="1"/>
  <c r="G29" i="3"/>
  <c r="G25" i="3"/>
  <c r="H25" i="3" s="1"/>
  <c r="G31" i="3"/>
  <c r="H31" i="3" s="1"/>
  <c r="G27" i="3"/>
  <c r="G23" i="3"/>
  <c r="D91" i="3" l="1"/>
  <c r="C12" i="16"/>
  <c r="D87" i="3" l="1"/>
  <c r="D83" i="3"/>
  <c r="D85" i="3"/>
  <c r="C21" i="11"/>
  <c r="A22" i="13"/>
  <c r="A38" i="13" s="1"/>
  <c r="D31" i="3"/>
  <c r="T119" i="3"/>
  <c r="F18" i="10"/>
  <c r="S147" i="3" l="1"/>
  <c r="F22" i="10" s="1"/>
  <c r="F20" i="10"/>
  <c r="G47" i="3"/>
  <c r="F24" i="10" l="1"/>
  <c r="H25" i="10" s="1"/>
  <c r="P25" i="10" s="1"/>
  <c r="E28" i="13"/>
  <c r="E18" i="13"/>
  <c r="F18" i="11"/>
  <c r="H23" i="3"/>
  <c r="N25" i="10" l="1"/>
  <c r="V62" i="3"/>
  <c r="I83" i="3" l="1"/>
  <c r="AC80" i="3" l="1"/>
  <c r="X46" i="3" s="1"/>
  <c r="AD80" i="3"/>
  <c r="AG80" i="3"/>
  <c r="AF80" i="3"/>
  <c r="AE80" i="3"/>
  <c r="AF81" i="3" l="1"/>
  <c r="Z46" i="3" s="1"/>
  <c r="AE81" i="3"/>
  <c r="Y46" i="3" s="1"/>
  <c r="AG81" i="3"/>
  <c r="AA46" i="3" s="1"/>
  <c r="BT80" i="3"/>
  <c r="BO80" i="3"/>
  <c r="BJ80" i="3"/>
  <c r="BE80" i="3"/>
  <c r="AZ80" i="3"/>
  <c r="AU80" i="3"/>
  <c r="AP80" i="3"/>
  <c r="AL80" i="3"/>
  <c r="AK80" i="3"/>
  <c r="BK68" i="3"/>
  <c r="BF68" i="3"/>
  <c r="BA68" i="3"/>
  <c r="AV68" i="3"/>
  <c r="AQ68" i="3"/>
  <c r="O28" i="10" l="1"/>
  <c r="M28" i="10"/>
  <c r="AC39" i="3" l="1"/>
  <c r="B51" i="3"/>
  <c r="G30" i="10" l="1"/>
  <c r="Y28" i="3" s="1"/>
  <c r="C51" i="3"/>
  <c r="N29" i="10"/>
  <c r="N30" i="10"/>
  <c r="P29" i="10"/>
  <c r="P30" i="10"/>
  <c r="E31" i="13"/>
  <c r="E23" i="10"/>
  <c r="G29" i="10"/>
  <c r="F19" i="10"/>
  <c r="E22" i="10"/>
  <c r="C34" i="13"/>
  <c r="H45" i="11" s="1"/>
  <c r="I23" i="16"/>
  <c r="E18" i="10"/>
  <c r="E20" i="10"/>
  <c r="BR80" i="3"/>
  <c r="BQ80" i="3"/>
  <c r="X54" i="3" s="1"/>
  <c r="BM80" i="3"/>
  <c r="BL80" i="3"/>
  <c r="X53" i="3" s="1"/>
  <c r="BH80" i="3"/>
  <c r="BG80" i="3"/>
  <c r="X52" i="3" s="1"/>
  <c r="BC80" i="3"/>
  <c r="BB80" i="3"/>
  <c r="X51" i="3" s="1"/>
  <c r="AX80" i="3"/>
  <c r="AW80" i="3"/>
  <c r="X50" i="3" s="1"/>
  <c r="AS80" i="3"/>
  <c r="AR80" i="3"/>
  <c r="X49" i="3" s="1"/>
  <c r="AN80" i="3"/>
  <c r="AM80" i="3"/>
  <c r="X48" i="3" s="1"/>
  <c r="AJ80" i="3"/>
  <c r="AI80" i="3"/>
  <c r="AH80" i="3"/>
  <c r="X47" i="3" s="1"/>
  <c r="S80" i="3"/>
  <c r="R80" i="3"/>
  <c r="Q80" i="3"/>
  <c r="P80" i="3"/>
  <c r="O80" i="3"/>
  <c r="BU47" i="3"/>
  <c r="BU48" i="3" s="1"/>
  <c r="BU49" i="3" s="1"/>
  <c r="BK51" i="3"/>
  <c r="BK55" i="3" s="1"/>
  <c r="BK61" i="3" s="1"/>
  <c r="BF55" i="3"/>
  <c r="BF61" i="3" s="1"/>
  <c r="BF80" i="3" s="1"/>
  <c r="BA55" i="3"/>
  <c r="BA61" i="3" s="1"/>
  <c r="AV55" i="3"/>
  <c r="AB39" i="3"/>
  <c r="Z39" i="3"/>
  <c r="X39" i="3"/>
  <c r="U36" i="3"/>
  <c r="T36" i="3"/>
  <c r="S36" i="3"/>
  <c r="Q36" i="3"/>
  <c r="Q37" i="3" s="1"/>
  <c r="P36" i="3"/>
  <c r="AB37" i="3" s="1"/>
  <c r="O36" i="3"/>
  <c r="Z37" i="3" s="1"/>
  <c r="AG33" i="3"/>
  <c r="AB33" i="3"/>
  <c r="Y33" i="3"/>
  <c r="H27" i="3"/>
  <c r="D13" i="3"/>
  <c r="I13" i="3" s="1"/>
  <c r="E18" i="11"/>
  <c r="C17" i="11"/>
  <c r="A17" i="11"/>
  <c r="B13" i="11"/>
  <c r="B7" i="11"/>
  <c r="A3" i="11"/>
  <c r="E24" i="13"/>
  <c r="B18" i="13"/>
  <c r="A17" i="13"/>
  <c r="B9" i="13"/>
  <c r="B7" i="13"/>
  <c r="A7" i="13"/>
  <c r="A6" i="13"/>
  <c r="A5" i="13"/>
  <c r="A4" i="13"/>
  <c r="A3" i="13"/>
  <c r="AG28" i="3" l="1"/>
  <c r="V23" i="10"/>
  <c r="G31" i="13"/>
  <c r="AB28" i="3"/>
  <c r="F31" i="13"/>
  <c r="U23" i="10"/>
  <c r="AG26" i="3"/>
  <c r="Y26" i="3"/>
  <c r="AB26" i="3"/>
  <c r="AG18" i="3"/>
  <c r="Y18" i="3"/>
  <c r="AB18" i="3"/>
  <c r="AG20" i="3"/>
  <c r="AB20" i="3"/>
  <c r="AG25" i="3"/>
  <c r="Y20" i="3"/>
  <c r="AB25" i="3"/>
  <c r="Y25" i="3"/>
  <c r="AG27" i="3"/>
  <c r="G30" i="13"/>
  <c r="V22" i="10"/>
  <c r="AB27" i="3"/>
  <c r="F30" i="13"/>
  <c r="U22" i="10"/>
  <c r="AG19" i="3"/>
  <c r="Y19" i="3"/>
  <c r="AB19" i="3"/>
  <c r="Y27" i="3"/>
  <c r="E30" i="13"/>
  <c r="E51" i="3"/>
  <c r="G60" i="3"/>
  <c r="AH131" i="3" s="1"/>
  <c r="E60" i="3"/>
  <c r="AF131" i="3" s="1"/>
  <c r="F60" i="3"/>
  <c r="AG131" i="3" s="1"/>
  <c r="B11" i="11"/>
  <c r="G28" i="13"/>
  <c r="F28" i="13"/>
  <c r="F29" i="13"/>
  <c r="G29" i="13"/>
  <c r="I23" i="11"/>
  <c r="U19" i="10"/>
  <c r="V19" i="10"/>
  <c r="T19" i="10"/>
  <c r="V20" i="10"/>
  <c r="T20" i="10"/>
  <c r="U20" i="10"/>
  <c r="I24" i="11"/>
  <c r="AC40" i="3"/>
  <c r="X10" i="3"/>
  <c r="H29" i="3"/>
  <c r="P82" i="3"/>
  <c r="X80" i="3"/>
  <c r="AV80" i="3"/>
  <c r="AV81" i="3" s="1"/>
  <c r="AA49" i="3" s="1"/>
  <c r="BA62" i="3"/>
  <c r="BA65" i="3" s="1"/>
  <c r="BA74" i="3" s="1"/>
  <c r="BA80" i="3"/>
  <c r="BA81" i="3" s="1"/>
  <c r="AA50" i="3" s="1"/>
  <c r="BK62" i="3"/>
  <c r="BK74" i="3" s="1"/>
  <c r="BK80" i="3"/>
  <c r="BK81" i="3" s="1"/>
  <c r="AA52" i="3" s="1"/>
  <c r="BP80" i="3"/>
  <c r="BP81" i="3" s="1"/>
  <c r="AA53" i="3" s="1"/>
  <c r="BU80" i="3"/>
  <c r="BU81" i="3" s="1"/>
  <c r="AA54" i="3" s="1"/>
  <c r="AP81" i="3"/>
  <c r="Z48" i="3" s="1"/>
  <c r="AU81" i="3"/>
  <c r="Z49" i="3" s="1"/>
  <c r="AZ81" i="3"/>
  <c r="Z50" i="3" s="1"/>
  <c r="BF81" i="3"/>
  <c r="AA51" i="3" s="1"/>
  <c r="BE81" i="3"/>
  <c r="Z51" i="3" s="1"/>
  <c r="BJ81" i="3"/>
  <c r="Z52" i="3" s="1"/>
  <c r="BO81" i="3"/>
  <c r="Z53" i="3" s="1"/>
  <c r="BT81" i="3"/>
  <c r="Z54" i="3" s="1"/>
  <c r="AL81" i="3"/>
  <c r="AA47" i="3" s="1"/>
  <c r="AK81" i="3"/>
  <c r="Z47" i="3" s="1"/>
  <c r="BS80" i="3"/>
  <c r="BS81" i="3" s="1"/>
  <c r="Y54" i="3" s="1"/>
  <c r="BD80" i="3"/>
  <c r="BD81" i="3" s="1"/>
  <c r="Y51" i="3" s="1"/>
  <c r="AY80" i="3"/>
  <c r="AY81" i="3" s="1"/>
  <c r="Y50" i="3" s="1"/>
  <c r="BI80" i="3"/>
  <c r="BI81" i="3" s="1"/>
  <c r="Y52" i="3" s="1"/>
  <c r="AT80" i="3"/>
  <c r="AT81" i="3" s="1"/>
  <c r="Y49" i="3" s="1"/>
  <c r="BN80" i="3"/>
  <c r="BN81" i="3" s="1"/>
  <c r="Y53" i="3" s="1"/>
  <c r="D14" i="10"/>
  <c r="AJ81" i="3"/>
  <c r="Y47" i="3" s="1"/>
  <c r="AC37" i="3"/>
  <c r="AC36" i="3"/>
  <c r="Z40" i="3"/>
  <c r="AA16" i="3" s="1"/>
  <c r="Z36" i="3"/>
  <c r="AB40" i="3"/>
  <c r="AB36" i="3"/>
  <c r="I23" i="3"/>
  <c r="O81" i="3"/>
  <c r="E52" i="3" s="1"/>
  <c r="O82" i="3"/>
  <c r="Z131" i="3" l="1"/>
  <c r="Z147" i="3" s="1"/>
  <c r="B31" i="10" s="1"/>
  <c r="A27" i="11" s="1"/>
  <c r="Z130" i="3"/>
  <c r="G19" i="11"/>
  <c r="E19" i="13"/>
  <c r="AB131" i="3"/>
  <c r="AB147" i="3" s="1"/>
  <c r="AB130" i="3"/>
  <c r="AA131" i="3"/>
  <c r="AA147" i="3" s="1"/>
  <c r="AA130" i="3"/>
  <c r="F53" i="3"/>
  <c r="Y35" i="3" s="1"/>
  <c r="E54" i="3"/>
  <c r="J10" i="10"/>
  <c r="Y34" i="3"/>
  <c r="F61" i="3"/>
  <c r="F62" i="3" s="1"/>
  <c r="AG10" i="3"/>
  <c r="V12" i="10" s="1"/>
  <c r="AB10" i="3"/>
  <c r="Y10" i="3"/>
  <c r="T12" i="10" s="1"/>
  <c r="U12" i="10"/>
  <c r="Q82" i="3"/>
  <c r="U38" i="3" s="1"/>
  <c r="G61" i="3"/>
  <c r="G62" i="3" s="1"/>
  <c r="E61" i="3"/>
  <c r="E62" i="3" s="1"/>
  <c r="Z80" i="3"/>
  <c r="C85" i="3" s="1"/>
  <c r="G85" i="3" s="1"/>
  <c r="AQ55" i="3"/>
  <c r="AO80" i="3"/>
  <c r="AO81" i="3" s="1"/>
  <c r="Y48" i="3" s="1"/>
  <c r="Y80" i="3" s="1"/>
  <c r="Y15" i="3"/>
  <c r="T16" i="10" s="1"/>
  <c r="AG15" i="3"/>
  <c r="V16" i="10" s="1"/>
  <c r="AB15" i="3"/>
  <c r="U16" i="10" s="1"/>
  <c r="X16" i="3"/>
  <c r="X17" i="3"/>
  <c r="AF17" i="3"/>
  <c r="AA17" i="3"/>
  <c r="AB16" i="3" s="1"/>
  <c r="U17" i="10" s="1"/>
  <c r="AF16" i="3"/>
  <c r="A21" i="13"/>
  <c r="F20" i="11"/>
  <c r="D20" i="13"/>
  <c r="I25" i="3"/>
  <c r="AG16" i="3" l="1"/>
  <c r="V17" i="10" s="1"/>
  <c r="Y11" i="3"/>
  <c r="T13" i="10" s="1"/>
  <c r="AB11" i="3"/>
  <c r="U13" i="10" s="1"/>
  <c r="AG11" i="3"/>
  <c r="V13" i="10" s="1"/>
  <c r="C83" i="3"/>
  <c r="G83" i="3" s="1"/>
  <c r="AQ62" i="3"/>
  <c r="AQ65" i="3" s="1"/>
  <c r="AQ80" i="3"/>
  <c r="AQ81" i="3" s="1"/>
  <c r="AA48" i="3" s="1"/>
  <c r="Y16" i="3"/>
  <c r="T17" i="10" s="1"/>
  <c r="G57" i="3"/>
  <c r="E57" i="3"/>
  <c r="F57" i="3"/>
  <c r="U39" i="3"/>
  <c r="AG12" i="3" s="1"/>
  <c r="I27" i="3"/>
  <c r="AA80" i="3" l="1"/>
  <c r="C87" i="3" s="1"/>
  <c r="G87" i="3" s="1"/>
  <c r="AB12" i="3"/>
  <c r="U14" i="10" s="1"/>
  <c r="Y12" i="3"/>
  <c r="T14" i="10" s="1"/>
  <c r="K83" i="3"/>
  <c r="L83" i="3"/>
  <c r="J83" i="3"/>
  <c r="E58" i="3"/>
  <c r="E59" i="3" s="1"/>
  <c r="F58" i="3"/>
  <c r="F59" i="3" s="1"/>
  <c r="G58" i="3"/>
  <c r="G59" i="3" s="1"/>
  <c r="I85" i="3"/>
  <c r="K27" i="3"/>
  <c r="K25" i="3"/>
  <c r="K23" i="3"/>
  <c r="L27" i="3"/>
  <c r="L25" i="3"/>
  <c r="L23" i="3"/>
  <c r="J25" i="3"/>
  <c r="J27" i="3"/>
  <c r="J23" i="3"/>
  <c r="V14" i="10"/>
  <c r="X36" i="3"/>
  <c r="C20" i="11"/>
  <c r="X37" i="3"/>
  <c r="A20" i="13"/>
  <c r="I29" i="3"/>
  <c r="J29" i="3" s="1"/>
  <c r="L85" i="3" l="1"/>
  <c r="J85" i="3"/>
  <c r="K85" i="3"/>
  <c r="I87" i="3"/>
  <c r="L29" i="3"/>
  <c r="K29" i="3"/>
  <c r="I31" i="3"/>
  <c r="K87" i="3" l="1"/>
  <c r="K90" i="3" s="1"/>
  <c r="AB14" i="3" s="1"/>
  <c r="U15" i="10" s="1"/>
  <c r="L87" i="3"/>
  <c r="L90" i="3" s="1"/>
  <c r="AG14" i="3" s="1"/>
  <c r="V15" i="10" s="1"/>
  <c r="J87" i="3"/>
  <c r="J90" i="3" s="1"/>
  <c r="Y14" i="3" s="1"/>
  <c r="T15" i="10" s="1"/>
  <c r="J31" i="3"/>
  <c r="K31" i="3"/>
  <c r="L31" i="3"/>
  <c r="I33" i="3"/>
  <c r="K33" i="3" l="1"/>
  <c r="K36" i="3" s="1"/>
  <c r="AB9" i="3" s="1"/>
  <c r="AB21" i="3" s="1"/>
  <c r="L33" i="3"/>
  <c r="L36" i="3" s="1"/>
  <c r="AG9" i="3" s="1"/>
  <c r="AG21" i="3" s="1"/>
  <c r="J33" i="3"/>
  <c r="J36" i="3" s="1"/>
  <c r="Y9" i="3" s="1"/>
  <c r="Y21" i="3" s="1"/>
  <c r="V11" i="10" l="1"/>
  <c r="U11" i="10"/>
  <c r="T11" i="10"/>
  <c r="E24" i="10" l="1"/>
  <c r="AG22" i="3" l="1"/>
  <c r="V18" i="10"/>
  <c r="T18" i="10"/>
  <c r="U18" i="10"/>
  <c r="AB22" i="3"/>
  <c r="M19" i="10" l="1"/>
  <c r="O19" i="10"/>
  <c r="Y22" i="3"/>
  <c r="H19" i="10" l="1"/>
  <c r="I22" i="10" s="1"/>
  <c r="M20" i="10"/>
  <c r="O20" i="10"/>
  <c r="G24" i="13" s="1"/>
  <c r="G26" i="13" l="1"/>
  <c r="F26" i="13"/>
  <c r="F24" i="13"/>
  <c r="E26" i="13"/>
  <c r="I17" i="11"/>
  <c r="AC147" i="3"/>
  <c r="O31" i="10" s="1"/>
  <c r="G32" i="13" s="1"/>
  <c r="M31" i="10" l="1"/>
  <c r="P31" i="10"/>
  <c r="F31" i="10"/>
  <c r="O32" i="10" l="1"/>
  <c r="AG29" i="3"/>
  <c r="F32" i="13"/>
  <c r="N31" i="10"/>
  <c r="AB29" i="3" s="1"/>
  <c r="G31" i="10"/>
  <c r="T24" i="10"/>
  <c r="T26" i="10" s="1"/>
  <c r="Y29" i="3"/>
  <c r="Y30" i="3" s="1"/>
  <c r="Y31" i="3" s="1"/>
  <c r="I27" i="11"/>
  <c r="I36" i="11" s="1"/>
  <c r="V24" i="10"/>
  <c r="V26" i="10" s="1"/>
  <c r="G33" i="13"/>
  <c r="H34" i="10" l="1"/>
  <c r="I37" i="10" s="1"/>
  <c r="E32" i="13"/>
  <c r="AB30" i="3"/>
  <c r="AB31" i="3" s="1"/>
  <c r="M35" i="10" s="1"/>
  <c r="M36" i="10" s="1"/>
  <c r="M32" i="10"/>
  <c r="F33" i="13" s="1"/>
  <c r="F34" i="13" s="1"/>
  <c r="F35" i="13" s="1"/>
  <c r="AG30" i="3"/>
  <c r="AG31" i="3" s="1"/>
  <c r="O35" i="10" s="1"/>
  <c r="O36" i="10" s="1"/>
  <c r="U24" i="10"/>
  <c r="U26" i="10" s="1"/>
  <c r="G34" i="13"/>
  <c r="G35" i="13" s="1"/>
  <c r="I42" i="11"/>
  <c r="I49" i="11" s="1"/>
  <c r="H31" i="10"/>
  <c r="E33" i="13"/>
  <c r="E34" i="13" l="1"/>
  <c r="E35" i="13" s="1"/>
</calcChain>
</file>

<file path=xl/sharedStrings.xml><?xml version="1.0" encoding="utf-8"?>
<sst xmlns="http://schemas.openxmlformats.org/spreadsheetml/2006/main" count="636" uniqueCount="263">
  <si>
    <t>Auflage</t>
  </si>
  <si>
    <t>Fix2</t>
  </si>
  <si>
    <t>einseitig</t>
  </si>
  <si>
    <t>beidseitig</t>
  </si>
  <si>
    <t>A4</t>
  </si>
  <si>
    <t>Fix</t>
  </si>
  <si>
    <t>Clickpreis</t>
  </si>
  <si>
    <t>ab Auflage</t>
  </si>
  <si>
    <t>Arbeit</t>
  </si>
  <si>
    <t>Summe</t>
  </si>
  <si>
    <t>Fix(generell)</t>
  </si>
  <si>
    <t>el.Montage</t>
  </si>
  <si>
    <t>Rechengröße</t>
  </si>
  <si>
    <t>DIN A4</t>
  </si>
  <si>
    <t>Format</t>
  </si>
  <si>
    <t>ohne Mwst:</t>
  </si>
  <si>
    <t>Druck</t>
  </si>
  <si>
    <t>einfarbig schwarz</t>
  </si>
  <si>
    <t>Druck:</t>
  </si>
  <si>
    <t>Papier</t>
  </si>
  <si>
    <t>Enviro Top</t>
  </si>
  <si>
    <t>Biotop</t>
  </si>
  <si>
    <t>Munken lynx</t>
  </si>
  <si>
    <t>Munken Pure</t>
  </si>
  <si>
    <t>Papier:</t>
  </si>
  <si>
    <t>Faltblatt, DIN A3 offen</t>
  </si>
  <si>
    <t>Faltblatt, DIN A4 offen</t>
  </si>
  <si>
    <t>Klapp-Visitenkarte</t>
  </si>
  <si>
    <t>Nutzen</t>
  </si>
  <si>
    <t>nuten</t>
  </si>
  <si>
    <t>falzen</t>
  </si>
  <si>
    <t>80 g/qm</t>
  </si>
  <si>
    <t>90 g/qm</t>
  </si>
  <si>
    <t>100 g/qm</t>
  </si>
  <si>
    <t>120 g/qm</t>
  </si>
  <si>
    <t>150 g/qm</t>
  </si>
  <si>
    <t>170 g/qm</t>
  </si>
  <si>
    <t>250 g/qm</t>
  </si>
  <si>
    <t>300 g/qm</t>
  </si>
  <si>
    <t>Grammatur</t>
  </si>
  <si>
    <t>nur Angebot</t>
  </si>
  <si>
    <t>Auflage 3</t>
  </si>
  <si>
    <t>Auflage 2</t>
  </si>
  <si>
    <t>vorher schneiden</t>
  </si>
  <si>
    <t>nachher schneiden</t>
  </si>
  <si>
    <t>elektr. Montage (Callas)</t>
  </si>
  <si>
    <t>fix</t>
  </si>
  <si>
    <t>p.Tsd.</t>
  </si>
  <si>
    <t>schw/wß</t>
  </si>
  <si>
    <t>Schnitte</t>
  </si>
  <si>
    <t>Zugabe</t>
  </si>
  <si>
    <t>SUMME</t>
  </si>
  <si>
    <t>Modul</t>
  </si>
  <si>
    <t>kein Papier</t>
  </si>
  <si>
    <t xml:space="preserve"> </t>
  </si>
  <si>
    <t>240 g/qm</t>
  </si>
  <si>
    <t>netto!</t>
  </si>
  <si>
    <t>A3</t>
  </si>
  <si>
    <t>Druck in DIN A4 netto</t>
  </si>
  <si>
    <t>Druck in DIN A3 netto</t>
  </si>
  <si>
    <t>vorher schneiden:</t>
  </si>
  <si>
    <t>Papier gibt es</t>
  </si>
  <si>
    <t>netto</t>
  </si>
  <si>
    <t>brutto</t>
  </si>
  <si>
    <t>nachher</t>
  </si>
  <si>
    <t>nachher Schnitte:</t>
  </si>
  <si>
    <t>überhaupt schneiden:</t>
  </si>
  <si>
    <t>brutto, gerundet</t>
  </si>
  <si>
    <t>Freelife Vellum white</t>
  </si>
  <si>
    <t>140 g/qm</t>
  </si>
  <si>
    <t>Tintoretto gesso</t>
  </si>
  <si>
    <t>Tintoretto neve</t>
  </si>
  <si>
    <t>95 g/qm</t>
  </si>
  <si>
    <t>vierfarbig Skala</t>
  </si>
  <si>
    <t>Schneidezuschlag</t>
  </si>
  <si>
    <t>160 g/m</t>
  </si>
  <si>
    <t>nuten (Schneidemaschine)</t>
  </si>
  <si>
    <t>nuten (GTO)</t>
  </si>
  <si>
    <t>270 g/qm</t>
  </si>
  <si>
    <t>300 g/m</t>
  </si>
  <si>
    <t>nuten(S)</t>
  </si>
  <si>
    <t>nuten(GTO)</t>
  </si>
  <si>
    <t>kein Standartpapier</t>
  </si>
  <si>
    <t>Endbeschnitt</t>
  </si>
  <si>
    <t>Druckvorgänge * Faktor</t>
  </si>
  <si>
    <t>Mythos</t>
  </si>
  <si>
    <t>Rechner</t>
  </si>
  <si>
    <t>Angebot 1</t>
  </si>
  <si>
    <t>Angebot2</t>
  </si>
  <si>
    <t>Angebot1</t>
  </si>
  <si>
    <t>Druckkosten</t>
  </si>
  <si>
    <t>elektr.Mont.</t>
  </si>
  <si>
    <t>vorschneiden</t>
  </si>
  <si>
    <t>Endschneiden</t>
  </si>
  <si>
    <t>Mwst</t>
  </si>
  <si>
    <t>Angebot</t>
  </si>
  <si>
    <t>Angebotspreis</t>
  </si>
  <si>
    <t>Auflage gibt es</t>
  </si>
  <si>
    <t>Datum</t>
  </si>
  <si>
    <t>Adresse</t>
  </si>
  <si>
    <t>Anrede</t>
  </si>
  <si>
    <t>Name1</t>
  </si>
  <si>
    <t>Name2</t>
  </si>
  <si>
    <t>Straße</t>
  </si>
  <si>
    <t>PLZ - Stadt</t>
  </si>
  <si>
    <t>An</t>
  </si>
  <si>
    <t>Datum:</t>
  </si>
  <si>
    <t>Kundennummer:</t>
  </si>
  <si>
    <t>Rechnungsnr:</t>
  </si>
  <si>
    <t>Auftragsnr:</t>
  </si>
  <si>
    <t>Bogen DIN A3</t>
  </si>
  <si>
    <t>Bogen DIN A4</t>
  </si>
  <si>
    <t>Bogen DIN A5</t>
  </si>
  <si>
    <t>pro Schnitt</t>
  </si>
  <si>
    <t>elektr.Montage</t>
  </si>
  <si>
    <t>160 g/qm</t>
  </si>
  <si>
    <t>200 g/qm</t>
  </si>
  <si>
    <t>320 g/m</t>
  </si>
  <si>
    <t>220 g/qm</t>
  </si>
  <si>
    <t>215 g/qm</t>
  </si>
  <si>
    <t>260 g/qm</t>
  </si>
  <si>
    <t>320 g/qm</t>
  </si>
  <si>
    <t>115 g/qm</t>
  </si>
  <si>
    <t>frei</t>
  </si>
  <si>
    <t>Preisgerade</t>
  </si>
  <si>
    <t>A3 Clicks</t>
  </si>
  <si>
    <t>60 g/qm</t>
  </si>
  <si>
    <t>70 g/qm</t>
  </si>
  <si>
    <t>330 g/qm</t>
  </si>
  <si>
    <t>135 g/qm</t>
  </si>
  <si>
    <t>maximal 10</t>
  </si>
  <si>
    <t>Druckzugabe: Auflage x 2</t>
  </si>
  <si>
    <t>inc.Zugabe</t>
  </si>
  <si>
    <t>geschätzt</t>
  </si>
  <si>
    <t>Splendid</t>
  </si>
  <si>
    <t>85 g/qm</t>
  </si>
  <si>
    <t>190 g/qm</t>
  </si>
  <si>
    <t>100KG Preis</t>
  </si>
  <si>
    <r>
      <t xml:space="preserve">Karte </t>
    </r>
    <r>
      <rPr>
        <b/>
        <sz val="11"/>
        <color theme="1"/>
        <rFont val="Calibri"/>
        <family val="2"/>
        <scheme val="minor"/>
      </rPr>
      <t>DIN B6</t>
    </r>
    <r>
      <rPr>
        <sz val="11"/>
        <color theme="1"/>
        <rFont val="Calibri"/>
        <family val="2"/>
        <scheme val="minor"/>
      </rPr>
      <t xml:space="preserve"> (125 x 175 mm)</t>
    </r>
  </si>
  <si>
    <t>Karte DIN lang (210 x 105 mm)</t>
  </si>
  <si>
    <t>Karte DIN A6</t>
  </si>
  <si>
    <t>Faltblatt, 8 Seiten DIN lang</t>
  </si>
  <si>
    <t>Klappkarte A5 (A4 offen)</t>
  </si>
  <si>
    <t>Klappkarte A6 (DIN A5 offen)</t>
  </si>
  <si>
    <t>Klappkarte, 420 x 105 offen</t>
  </si>
  <si>
    <t>Klappkarte, 420 x 100 offen</t>
  </si>
  <si>
    <t>Klappkarte, 210 x 210 offen</t>
  </si>
  <si>
    <t>zzgl</t>
  </si>
  <si>
    <t>incl. Satz und Layout</t>
  </si>
  <si>
    <t>Karte mit Layout (35.-)</t>
  </si>
  <si>
    <t>Preis incl. Mwst.</t>
  </si>
  <si>
    <t>Karte mit Layout (65.-)</t>
  </si>
  <si>
    <t>Karte mit Layout (130.-)</t>
  </si>
  <si>
    <t>Hochzeitskarte</t>
  </si>
  <si>
    <t>Probedruck (pauschal)</t>
  </si>
  <si>
    <t>Trauerkarte mit Layout(eins.)</t>
  </si>
  <si>
    <t>Trauerkarte mit Layout(beids.)</t>
  </si>
  <si>
    <t>ohne Mwst.</t>
  </si>
  <si>
    <t>Visitenkarte mit Layout (15,-)</t>
  </si>
  <si>
    <t>Visitenkarte mit Layout (35,-)</t>
  </si>
  <si>
    <t>Layout, einseitige Karte</t>
  </si>
  <si>
    <t>Layout, beidseitige Karte</t>
  </si>
  <si>
    <t>Layout, Mehrbildkarte</t>
  </si>
  <si>
    <t>Trauerkarte (ohne Layout)</t>
  </si>
  <si>
    <t>fertige Karten</t>
  </si>
  <si>
    <t>freie Papierwahl</t>
  </si>
  <si>
    <t>incl. Layout einseitige Karte</t>
  </si>
  <si>
    <t>incl. Layout beidseitige Karte</t>
  </si>
  <si>
    <t>incl. Layout Mehrbildkarte</t>
  </si>
  <si>
    <t>incl. Layout beidseitige Trauerkarte</t>
  </si>
  <si>
    <t>incl. Layout einseitige Trauerkarte</t>
  </si>
  <si>
    <t>keine  Beratung</t>
  </si>
  <si>
    <t>Risiko</t>
  </si>
  <si>
    <t>farbig</t>
  </si>
  <si>
    <t>4/1</t>
  </si>
  <si>
    <t>Faktor</t>
  </si>
  <si>
    <t>Briefumschläge</t>
  </si>
  <si>
    <t>Aachen</t>
  </si>
  <si>
    <t>Anzahl</t>
  </si>
  <si>
    <t>Probedrucke</t>
  </si>
  <si>
    <t>Layout/Probedr.(verdeckt)</t>
  </si>
  <si>
    <t>Druckpreis</t>
  </si>
  <si>
    <t>Lieferung frei Haus</t>
  </si>
  <si>
    <t>Porto und Verpackung</t>
  </si>
  <si>
    <t>Porto und Verpackung frei</t>
  </si>
  <si>
    <t>Postpakete</t>
  </si>
  <si>
    <t>Päckchen</t>
  </si>
  <si>
    <t>Speditionskosten</t>
  </si>
  <si>
    <t>CityKurier</t>
  </si>
  <si>
    <t>rechnerisch</t>
  </si>
  <si>
    <t>kg</t>
  </si>
  <si>
    <t>Euro</t>
  </si>
  <si>
    <t>Hochzeitskarten</t>
  </si>
  <si>
    <t>Trauerkarten</t>
  </si>
  <si>
    <t>Preis Probedruck</t>
  </si>
  <si>
    <t>Visitenkarte (bis DIN A7)</t>
  </si>
  <si>
    <t>Mehrwertsteuer</t>
  </si>
  <si>
    <t>Einzelpreis</t>
  </si>
  <si>
    <t>Gesamtpreis</t>
  </si>
  <si>
    <t>Gesamtpreis 2</t>
  </si>
  <si>
    <t>Gesamtpreis 3</t>
  </si>
  <si>
    <t>Druckpreis 2</t>
  </si>
  <si>
    <t>Druckpreis 3</t>
  </si>
  <si>
    <t>340 g/qm</t>
  </si>
  <si>
    <t>freie Papierwahl EK</t>
  </si>
  <si>
    <t>Papier: 35 x 50</t>
  </si>
  <si>
    <t>p.Tsd.Bg</t>
  </si>
  <si>
    <t>p. 1 Bogen</t>
  </si>
  <si>
    <t>350 g/qm</t>
  </si>
  <si>
    <t>Bilderdruck matt (Opus)</t>
  </si>
  <si>
    <t>Bilderdruck glänzend (BVS)</t>
  </si>
  <si>
    <t>Chromo Recycling</t>
  </si>
  <si>
    <t>Circle matt white</t>
  </si>
  <si>
    <t>Circle Offset</t>
  </si>
  <si>
    <t>Cocoon Recycling</t>
  </si>
  <si>
    <t>Conqueror gerippt</t>
  </si>
  <si>
    <t>Conqueror glatt</t>
  </si>
  <si>
    <t>Conqueror CX 22</t>
  </si>
  <si>
    <t>Scrivere regular</t>
  </si>
  <si>
    <t>Scrivere smooth</t>
  </si>
  <si>
    <t>Scrivere rough</t>
  </si>
  <si>
    <t>Transparentpapier</t>
  </si>
  <si>
    <t>90 g/qm Premium white</t>
  </si>
  <si>
    <t>100 g/qm Recycling</t>
  </si>
  <si>
    <t>102 g/qm Translucent</t>
  </si>
  <si>
    <t>112 g/qm Translucent</t>
  </si>
  <si>
    <t>140 g/qm Visuell Transparent</t>
  </si>
  <si>
    <t>200 g/qm Premium weiß</t>
  </si>
  <si>
    <t>90 g/qm Conservation</t>
  </si>
  <si>
    <t>Faltblatt, DIN A5 offen</t>
  </si>
  <si>
    <t>Klappkarte A5, 420x148 mm offen</t>
  </si>
  <si>
    <t>Klappkarte B6, 350x115 mm offen</t>
  </si>
  <si>
    <t>Klappkarte B6 , 175x230 mm offen)</t>
  </si>
  <si>
    <t>Karte DIN lang (210 x 100 mm)</t>
  </si>
  <si>
    <t>Karte quadr. (158 x 158 mm)</t>
  </si>
  <si>
    <t>Klappkarte A6, 296 x 105 mm offen</t>
  </si>
  <si>
    <t>Klappkarte, quadr. 316 x 158 offen</t>
  </si>
  <si>
    <t>Arbeitspreise</t>
  </si>
  <si>
    <t>s</t>
  </si>
  <si>
    <t>m</t>
  </si>
  <si>
    <t>l</t>
  </si>
  <si>
    <t>Preis:sml</t>
  </si>
  <si>
    <t>ja</t>
  </si>
  <si>
    <t>nein</t>
  </si>
  <si>
    <t>eine DIN Stufe kleiner</t>
  </si>
  <si>
    <t>Nutzen gibt es</t>
  </si>
  <si>
    <t>Layout/Probedrucke</t>
  </si>
  <si>
    <t>verdeckt</t>
  </si>
  <si>
    <t>offen</t>
  </si>
  <si>
    <t>Layout/Probe</t>
  </si>
  <si>
    <t>90 g/qm gestreift</t>
  </si>
  <si>
    <t>zusätzlich</t>
  </si>
  <si>
    <t>mit Beratung</t>
  </si>
  <si>
    <t>Textwechsel</t>
  </si>
  <si>
    <t>Motif °</t>
  </si>
  <si>
    <t>Motif Premium A4  °</t>
  </si>
  <si>
    <t>Motif Premium A3  °</t>
  </si>
  <si>
    <t>Nautilus  °</t>
  </si>
  <si>
    <t>Trendweiß 80, Recycling °</t>
  </si>
  <si>
    <t>Inaset Hartpost  °</t>
  </si>
  <si>
    <t>Algro Zellstoffkarton °</t>
  </si>
  <si>
    <t xml:space="preserve">  </t>
  </si>
  <si>
    <t>400 g/qm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</si>
</sst>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* #,##0.00\ &quot;€&quot;_-;\-* #,##0.00\ &quot;€&quot;_-;_-* &quot;-&quot;??\ &quot;€&quot;_-;_-@_-"/>
    <numFmt numFmtId="164" formatCode="#,##0.00\ &quot;€&quot;"/>
    <numFmt numFmtId="165" formatCode="#\ ?/16"/>
    <numFmt numFmtId="166" formatCode="[$-F800]dddd\,\ mmmm\ dd\,\ yyyy"/>
    <numFmt numFmtId="167" formatCode="0.000"/>
    <numFmt numFmtId="168" formatCode="0.0"/>
    <numFmt numFmtId="169" formatCode="#,##0.000\ &quot;€&quot;"/>
  </numFmts>
  <fonts count="24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4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sz val="18"/>
      <color theme="1"/>
      <name val="Arial Black"/>
      <family val="2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color theme="1"/>
      <name val="Arial Black"/>
      <family val="2"/>
    </font>
    <font>
      <sz val="11"/>
      <color theme="0" tint="-0.34998626667073579"/>
      <name val="Calibri"/>
      <family val="2"/>
      <scheme val="minor"/>
    </font>
    <font>
      <sz val="10"/>
      <color theme="1"/>
      <name val="Arial Narrow"/>
      <family val="2"/>
    </font>
    <font>
      <sz val="8"/>
      <color theme="0" tint="-0.34998626667073579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Arial Narrow"/>
      <family val="2"/>
    </font>
    <font>
      <sz val="6"/>
      <color theme="1"/>
      <name val="Calibri"/>
      <family val="2"/>
      <scheme val="minor"/>
    </font>
    <font>
      <sz val="8"/>
      <color theme="1"/>
      <name val="Arial Narrow"/>
      <family val="2"/>
    </font>
    <font>
      <sz val="12"/>
      <color theme="1"/>
      <name val="Calibri"/>
      <family val="2"/>
      <scheme val="minor"/>
    </font>
    <font>
      <sz val="11"/>
      <color theme="1"/>
      <name val="Arial Black"/>
      <family val="2"/>
    </font>
    <font>
      <sz val="7"/>
      <color theme="1"/>
      <name val="Calibri"/>
      <family val="2"/>
      <scheme val="minor"/>
    </font>
    <font>
      <sz val="7"/>
      <color theme="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66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2" borderId="0" xfId="0" applyFill="1" applyAlignment="1">
      <alignment horizontal="center"/>
    </xf>
    <xf numFmtId="0" fontId="0" fillId="0" borderId="10" xfId="0" applyBorder="1"/>
    <xf numFmtId="0" fontId="0" fillId="2" borderId="0" xfId="0" applyFill="1"/>
    <xf numFmtId="0" fontId="1" fillId="0" borderId="0" xfId="0" applyFont="1"/>
    <xf numFmtId="0" fontId="0" fillId="0" borderId="0" xfId="0" applyAlignment="1">
      <alignment horizontal="right"/>
    </xf>
    <xf numFmtId="2" fontId="0" fillId="0" borderId="2" xfId="0" applyNumberFormat="1" applyBorder="1" applyAlignment="1">
      <alignment horizontal="center"/>
    </xf>
    <xf numFmtId="164" fontId="0" fillId="2" borderId="0" xfId="0" applyNumberFormat="1" applyFill="1" applyAlignment="1">
      <alignment horizontal="center"/>
    </xf>
    <xf numFmtId="44" fontId="0" fillId="2" borderId="0" xfId="0" applyNumberFormat="1" applyFill="1" applyAlignment="1">
      <alignment horizontal="center"/>
    </xf>
    <xf numFmtId="0" fontId="0" fillId="0" borderId="0" xfId="0" applyNumberFormat="1"/>
    <xf numFmtId="12" fontId="0" fillId="0" borderId="0" xfId="0" applyNumberFormat="1"/>
    <xf numFmtId="12" fontId="0" fillId="0" borderId="0" xfId="0" applyNumberFormat="1" applyAlignment="1">
      <alignment horizontal="center"/>
    </xf>
    <xf numFmtId="12" fontId="0" fillId="0" borderId="4" xfId="0" applyNumberFormat="1" applyBorder="1" applyAlignment="1">
      <alignment horizontal="center"/>
    </xf>
    <xf numFmtId="0" fontId="0" fillId="0" borderId="0" xfId="0" applyNumberFormat="1" applyAlignment="1">
      <alignment horizontal="center"/>
    </xf>
    <xf numFmtId="164" fontId="0" fillId="3" borderId="0" xfId="0" applyNumberFormat="1" applyFill="1" applyBorder="1"/>
    <xf numFmtId="0" fontId="0" fillId="0" borderId="2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2" fontId="0" fillId="0" borderId="0" xfId="0" applyNumberFormat="1" applyBorder="1" applyAlignment="1">
      <alignment horizontal="center"/>
    </xf>
    <xf numFmtId="166" fontId="0" fillId="0" borderId="0" xfId="0" applyNumberFormat="1"/>
    <xf numFmtId="0" fontId="3" fillId="0" borderId="2" xfId="0" applyFont="1" applyBorder="1"/>
    <xf numFmtId="0" fontId="2" fillId="2" borderId="0" xfId="0" applyFont="1" applyFill="1" applyAlignment="1">
      <alignment horizontal="right"/>
    </xf>
    <xf numFmtId="0" fontId="3" fillId="0" borderId="4" xfId="0" applyFont="1" applyBorder="1"/>
    <xf numFmtId="0" fontId="0" fillId="0" borderId="0" xfId="0" applyAlignment="1"/>
    <xf numFmtId="0" fontId="2" fillId="2" borderId="0" xfId="0" applyFont="1" applyFill="1" applyAlignment="1">
      <alignment horizontal="right"/>
    </xf>
    <xf numFmtId="0" fontId="0" fillId="0" borderId="0" xfId="0" applyAlignment="1">
      <alignment horizontal="center"/>
    </xf>
    <xf numFmtId="0" fontId="2" fillId="2" borderId="0" xfId="0" applyFont="1" applyFill="1" applyAlignment="1"/>
    <xf numFmtId="0" fontId="4" fillId="0" borderId="17" xfId="0" applyFont="1" applyBorder="1"/>
    <xf numFmtId="0" fontId="4" fillId="0" borderId="18" xfId="0" applyFont="1" applyBorder="1"/>
    <xf numFmtId="0" fontId="0" fillId="0" borderId="18" xfId="0" applyBorder="1"/>
    <xf numFmtId="0" fontId="0" fillId="0" borderId="19" xfId="0" applyBorder="1"/>
    <xf numFmtId="0" fontId="0" fillId="0" borderId="17" xfId="0" applyBorder="1"/>
    <xf numFmtId="12" fontId="0" fillId="0" borderId="18" xfId="0" applyNumberFormat="1" applyBorder="1"/>
    <xf numFmtId="165" fontId="0" fillId="0" borderId="18" xfId="0" applyNumberFormat="1" applyBorder="1"/>
    <xf numFmtId="0" fontId="0" fillId="0" borderId="2" xfId="0" applyNumberFormat="1" applyBorder="1"/>
    <xf numFmtId="0" fontId="1" fillId="0" borderId="0" xfId="0" applyNumberFormat="1" applyFont="1" applyAlignment="1">
      <alignment horizontal="center"/>
    </xf>
    <xf numFmtId="0" fontId="1" fillId="0" borderId="0" xfId="0" applyNumberFormat="1" applyFont="1" applyAlignment="1"/>
    <xf numFmtId="0" fontId="6" fillId="0" borderId="0" xfId="0" applyFont="1"/>
    <xf numFmtId="164" fontId="0" fillId="0" borderId="0" xfId="0" applyNumberFormat="1"/>
    <xf numFmtId="44" fontId="0" fillId="0" borderId="0" xfId="0" applyNumberFormat="1"/>
    <xf numFmtId="2" fontId="0" fillId="0" borderId="0" xfId="0" applyNumberFormat="1"/>
    <xf numFmtId="0" fontId="1" fillId="0" borderId="0" xfId="0" applyFont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4" borderId="11" xfId="0" applyFill="1" applyBorder="1"/>
    <xf numFmtId="0" fontId="0" fillId="4" borderId="12" xfId="0" applyFill="1" applyBorder="1"/>
    <xf numFmtId="0" fontId="0" fillId="4" borderId="20" xfId="0" applyFill="1" applyBorder="1"/>
    <xf numFmtId="0" fontId="0" fillId="4" borderId="21" xfId="0" applyFill="1" applyBorder="1"/>
    <xf numFmtId="0" fontId="0" fillId="4" borderId="2" xfId="0" applyFill="1" applyBorder="1"/>
    <xf numFmtId="164" fontId="0" fillId="4" borderId="2" xfId="0" applyNumberFormat="1" applyFill="1" applyBorder="1"/>
    <xf numFmtId="0" fontId="0" fillId="2" borderId="0" xfId="0" applyFill="1" applyAlignment="1">
      <alignment horizontal="right"/>
    </xf>
    <xf numFmtId="0" fontId="0" fillId="0" borderId="17" xfId="0" applyNumberFormat="1" applyBorder="1" applyAlignment="1">
      <alignment horizontal="center"/>
    </xf>
    <xf numFmtId="0" fontId="0" fillId="0" borderId="18" xfId="0" applyNumberFormat="1" applyBorder="1" applyAlignment="1">
      <alignment horizontal="center"/>
    </xf>
    <xf numFmtId="0" fontId="0" fillId="0" borderId="19" xfId="0" applyNumberFormat="1" applyBorder="1" applyAlignment="1">
      <alignment horizontal="center"/>
    </xf>
    <xf numFmtId="1" fontId="0" fillId="0" borderId="0" xfId="0" applyNumberFormat="1"/>
    <xf numFmtId="2" fontId="0" fillId="2" borderId="0" xfId="0" applyNumberFormat="1" applyFill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0" xfId="0" applyNumberFormat="1" applyBorder="1"/>
    <xf numFmtId="167" fontId="0" fillId="0" borderId="0" xfId="0" applyNumberFormat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67" fontId="0" fillId="0" borderId="0" xfId="0" applyNumberFormat="1" applyAlignment="1">
      <alignment vertical="center"/>
    </xf>
    <xf numFmtId="0" fontId="0" fillId="0" borderId="18" xfId="0" applyBorder="1" applyAlignment="1">
      <alignment vertical="center"/>
    </xf>
    <xf numFmtId="0" fontId="0" fillId="0" borderId="2" xfId="0" applyNumberFormat="1" applyBorder="1" applyAlignment="1">
      <alignment horizontal="center" vertical="center"/>
    </xf>
    <xf numFmtId="0" fontId="0" fillId="0" borderId="18" xfId="0" applyNumberFormat="1" applyBorder="1" applyAlignment="1">
      <alignment horizontal="center" vertical="center"/>
    </xf>
    <xf numFmtId="12" fontId="0" fillId="0" borderId="18" xfId="0" applyNumberFormat="1" applyBorder="1" applyAlignment="1">
      <alignment vertical="center"/>
    </xf>
    <xf numFmtId="1" fontId="0" fillId="2" borderId="0" xfId="0" applyNumberFormat="1" applyFill="1"/>
    <xf numFmtId="0" fontId="0" fillId="0" borderId="10" xfId="0" applyNumberFormat="1" applyBorder="1" applyAlignment="1">
      <alignment horizontal="right"/>
    </xf>
    <xf numFmtId="0" fontId="0" fillId="0" borderId="1" xfId="0" applyNumberFormat="1" applyBorder="1" applyAlignment="1">
      <alignment horizontal="center"/>
    </xf>
    <xf numFmtId="0" fontId="0" fillId="0" borderId="4" xfId="0" applyNumberFormat="1" applyBorder="1" applyAlignment="1">
      <alignment horizontal="center"/>
    </xf>
    <xf numFmtId="0" fontId="0" fillId="0" borderId="0" xfId="0" applyAlignment="1">
      <alignment textRotation="90"/>
    </xf>
    <xf numFmtId="0" fontId="0" fillId="0" borderId="18" xfId="0" applyNumberFormat="1" applyFill="1" applyBorder="1" applyAlignment="1">
      <alignment horizontal="center"/>
    </xf>
    <xf numFmtId="0" fontId="0" fillId="0" borderId="17" xfId="0" applyNumberFormat="1" applyFill="1" applyBorder="1" applyAlignment="1">
      <alignment horizontal="center"/>
    </xf>
    <xf numFmtId="0" fontId="0" fillId="0" borderId="0" xfId="0" applyNumberFormat="1" applyBorder="1" applyAlignment="1">
      <alignment horizontal="right"/>
    </xf>
    <xf numFmtId="10" fontId="0" fillId="0" borderId="0" xfId="0" applyNumberFormat="1"/>
    <xf numFmtId="2" fontId="0" fillId="0" borderId="0" xfId="0" applyNumberFormat="1" applyBorder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/>
    </xf>
    <xf numFmtId="9" fontId="0" fillId="0" borderId="0" xfId="0" applyNumberFormat="1"/>
    <xf numFmtId="9" fontId="0" fillId="0" borderId="0" xfId="0" applyNumberFormat="1" applyAlignment="1">
      <alignment vertical="center"/>
    </xf>
    <xf numFmtId="9" fontId="1" fillId="0" borderId="0" xfId="0" applyNumberFormat="1" applyFont="1" applyAlignment="1"/>
    <xf numFmtId="0" fontId="0" fillId="0" borderId="24" xfId="0" applyBorder="1"/>
    <xf numFmtId="0" fontId="0" fillId="0" borderId="26" xfId="0" applyBorder="1"/>
    <xf numFmtId="0" fontId="0" fillId="3" borderId="0" xfId="0" applyNumberFormat="1" applyFill="1" applyBorder="1" applyAlignment="1">
      <alignment horizontal="center"/>
    </xf>
    <xf numFmtId="9" fontId="0" fillId="0" borderId="27" xfId="0" applyNumberFormat="1" applyBorder="1" applyAlignment="1">
      <alignment horizontal="center"/>
    </xf>
    <xf numFmtId="0" fontId="0" fillId="0" borderId="28" xfId="0" applyBorder="1"/>
    <xf numFmtId="0" fontId="8" fillId="5" borderId="0" xfId="0" applyNumberFormat="1" applyFont="1" applyFill="1" applyBorder="1" applyAlignment="1">
      <alignment horizontal="center"/>
    </xf>
    <xf numFmtId="0" fontId="0" fillId="5" borderId="0" xfId="0" applyNumberFormat="1" applyFill="1" applyBorder="1" applyAlignment="1">
      <alignment horizontal="center"/>
    </xf>
    <xf numFmtId="1" fontId="0" fillId="0" borderId="0" xfId="0" applyNumberFormat="1" applyAlignment="1">
      <alignment horizontal="center"/>
    </xf>
    <xf numFmtId="0" fontId="9" fillId="2" borderId="0" xfId="0" applyFont="1" applyFill="1" applyAlignment="1">
      <alignment horizontal="center"/>
    </xf>
    <xf numFmtId="0" fontId="0" fillId="0" borderId="25" xfId="0" applyBorder="1"/>
    <xf numFmtId="0" fontId="0" fillId="0" borderId="27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27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9" fontId="0" fillId="0" borderId="24" xfId="0" applyNumberFormat="1" applyBorder="1"/>
    <xf numFmtId="9" fontId="0" fillId="0" borderId="26" xfId="0" applyNumberFormat="1" applyBorder="1"/>
    <xf numFmtId="9" fontId="0" fillId="0" borderId="26" xfId="0" applyNumberFormat="1" applyBorder="1" applyAlignment="1">
      <alignment vertical="center"/>
    </xf>
    <xf numFmtId="9" fontId="0" fillId="0" borderId="28" xfId="0" applyNumberFormat="1" applyBorder="1" applyAlignment="1">
      <alignment vertical="center"/>
    </xf>
    <xf numFmtId="9" fontId="0" fillId="0" borderId="4" xfId="0" applyNumberFormat="1" applyBorder="1"/>
    <xf numFmtId="0" fontId="0" fillId="5" borderId="0" xfId="0" applyFill="1" applyBorder="1"/>
    <xf numFmtId="0" fontId="0" fillId="6" borderId="0" xfId="0" applyFill="1"/>
    <xf numFmtId="164" fontId="0" fillId="6" borderId="0" xfId="0" applyNumberFormat="1" applyFill="1"/>
    <xf numFmtId="0" fontId="0" fillId="0" borderId="0" xfId="0" applyAlignment="1">
      <alignment horizontal="left"/>
    </xf>
    <xf numFmtId="9" fontId="0" fillId="0" borderId="10" xfId="0" applyNumberFormat="1" applyBorder="1"/>
    <xf numFmtId="0" fontId="0" fillId="0" borderId="35" xfId="0" applyBorder="1"/>
    <xf numFmtId="0" fontId="10" fillId="2" borderId="0" xfId="0" applyFont="1" applyFill="1" applyAlignment="1">
      <alignment horizontal="right"/>
    </xf>
    <xf numFmtId="0" fontId="0" fillId="3" borderId="8" xfId="0" applyFill="1" applyBorder="1"/>
    <xf numFmtId="14" fontId="0" fillId="3" borderId="2" xfId="0" applyNumberFormat="1" applyFill="1" applyBorder="1"/>
    <xf numFmtId="0" fontId="0" fillId="3" borderId="2" xfId="0" applyNumberFormat="1" applyFill="1" applyBorder="1"/>
    <xf numFmtId="1" fontId="0" fillId="2" borderId="0" xfId="0" applyNumberFormat="1" applyFill="1" applyBorder="1" applyAlignment="1">
      <alignment horizontal="center"/>
    </xf>
    <xf numFmtId="9" fontId="3" fillId="0" borderId="2" xfId="0" applyNumberFormat="1" applyFont="1" applyBorder="1"/>
    <xf numFmtId="0" fontId="3" fillId="0" borderId="0" xfId="0" applyFont="1" applyBorder="1"/>
    <xf numFmtId="10" fontId="3" fillId="0" borderId="0" xfId="0" applyNumberFormat="1" applyFont="1" applyBorder="1"/>
    <xf numFmtId="0" fontId="10" fillId="2" borderId="0" xfId="0" applyFont="1" applyFill="1"/>
    <xf numFmtId="0" fontId="0" fillId="3" borderId="0" xfId="0" applyFill="1" applyBorder="1"/>
    <xf numFmtId="0" fontId="0" fillId="0" borderId="0" xfId="0" applyAlignment="1">
      <alignment horizontal="center"/>
    </xf>
    <xf numFmtId="0" fontId="0" fillId="4" borderId="0" xfId="0" applyFill="1"/>
    <xf numFmtId="0" fontId="0" fillId="4" borderId="0" xfId="0" applyFill="1" applyAlignment="1">
      <alignment horizontal="right"/>
    </xf>
    <xf numFmtId="167" fontId="0" fillId="0" borderId="2" xfId="0" applyNumberFormat="1" applyBorder="1"/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9" fontId="0" fillId="0" borderId="0" xfId="0" applyNumberFormat="1" applyBorder="1"/>
    <xf numFmtId="9" fontId="0" fillId="0" borderId="27" xfId="0" applyNumberFormat="1" applyBorder="1"/>
    <xf numFmtId="0" fontId="0" fillId="0" borderId="41" xfId="0" applyNumberFormat="1" applyBorder="1" applyAlignment="1">
      <alignment horizontal="left"/>
    </xf>
    <xf numFmtId="0" fontId="0" fillId="0" borderId="42" xfId="0" applyNumberFormat="1" applyBorder="1" applyAlignment="1">
      <alignment horizontal="center"/>
    </xf>
    <xf numFmtId="9" fontId="0" fillId="0" borderId="43" xfId="0" applyNumberFormat="1" applyBorder="1" applyAlignment="1">
      <alignment horizontal="center"/>
    </xf>
    <xf numFmtId="0" fontId="0" fillId="0" borderId="13" xfId="0" applyNumberFormat="1" applyBorder="1" applyAlignment="1">
      <alignment horizontal="left"/>
    </xf>
    <xf numFmtId="0" fontId="0" fillId="0" borderId="14" xfId="0" applyBorder="1"/>
    <xf numFmtId="0" fontId="0" fillId="0" borderId="13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45" xfId="0" applyBorder="1"/>
    <xf numFmtId="9" fontId="0" fillId="0" borderId="46" xfId="0" applyNumberFormat="1" applyBorder="1"/>
    <xf numFmtId="0" fontId="0" fillId="0" borderId="16" xfId="0" applyBorder="1"/>
    <xf numFmtId="0" fontId="0" fillId="0" borderId="47" xfId="0" applyBorder="1"/>
    <xf numFmtId="9" fontId="0" fillId="0" borderId="18" xfId="0" applyNumberFormat="1" applyBorder="1"/>
    <xf numFmtId="0" fontId="0" fillId="0" borderId="41" xfId="0" applyNumberFormat="1" applyBorder="1" applyAlignment="1">
      <alignment horizontal="center"/>
    </xf>
    <xf numFmtId="0" fontId="0" fillId="3" borderId="42" xfId="0" applyNumberFormat="1" applyFill="1" applyBorder="1" applyAlignment="1">
      <alignment horizontal="center"/>
    </xf>
    <xf numFmtId="9" fontId="0" fillId="0" borderId="47" xfId="0" applyNumberFormat="1" applyBorder="1"/>
    <xf numFmtId="0" fontId="0" fillId="0" borderId="13" xfId="0" applyNumberFormat="1" applyBorder="1" applyAlignment="1">
      <alignment horizontal="center"/>
    </xf>
    <xf numFmtId="0" fontId="0" fillId="0" borderId="13" xfId="0" applyBorder="1"/>
    <xf numFmtId="0" fontId="0" fillId="0" borderId="13" xfId="0" applyFill="1" applyBorder="1"/>
    <xf numFmtId="0" fontId="0" fillId="0" borderId="15" xfId="0" applyBorder="1"/>
    <xf numFmtId="9" fontId="0" fillId="0" borderId="35" xfId="0" applyNumberFormat="1" applyBorder="1"/>
    <xf numFmtId="0" fontId="0" fillId="0" borderId="41" xfId="0" applyBorder="1"/>
    <xf numFmtId="9" fontId="0" fillId="0" borderId="45" xfId="0" applyNumberFormat="1" applyBorder="1"/>
    <xf numFmtId="9" fontId="0" fillId="0" borderId="16" xfId="0" applyNumberFormat="1" applyBorder="1"/>
    <xf numFmtId="9" fontId="0" fillId="0" borderId="0" xfId="0" applyNumberFormat="1" applyBorder="1" applyAlignment="1">
      <alignment horizontal="center"/>
    </xf>
    <xf numFmtId="9" fontId="0" fillId="0" borderId="42" xfId="0" applyNumberFormat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16" xfId="0" applyBorder="1" applyAlignment="1">
      <alignment horizontal="center"/>
    </xf>
    <xf numFmtId="9" fontId="0" fillId="0" borderId="2" xfId="0" applyNumberFormat="1" applyBorder="1" applyAlignment="1">
      <alignment horizontal="left"/>
    </xf>
    <xf numFmtId="9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168" fontId="0" fillId="0" borderId="2" xfId="0" applyNumberFormat="1" applyBorder="1" applyAlignment="1">
      <alignment horizontal="center"/>
    </xf>
    <xf numFmtId="168" fontId="0" fillId="0" borderId="2" xfId="0" applyNumberFormat="1" applyBorder="1"/>
    <xf numFmtId="0" fontId="0" fillId="0" borderId="0" xfId="0" applyAlignment="1">
      <alignment horizontal="center"/>
    </xf>
    <xf numFmtId="0" fontId="0" fillId="5" borderId="0" xfId="0" applyFill="1" applyBorder="1" applyAlignment="1">
      <alignment horizontal="center"/>
    </xf>
    <xf numFmtId="0" fontId="0" fillId="0" borderId="18" xfId="0" applyFill="1" applyBorder="1"/>
    <xf numFmtId="9" fontId="0" fillId="0" borderId="13" xfId="0" applyNumberFormat="1" applyBorder="1"/>
    <xf numFmtId="168" fontId="0" fillId="0" borderId="0" xfId="0" applyNumberFormat="1"/>
    <xf numFmtId="0" fontId="0" fillId="0" borderId="42" xfId="0" applyBorder="1"/>
    <xf numFmtId="9" fontId="0" fillId="0" borderId="44" xfId="0" applyNumberFormat="1" applyBorder="1" applyAlignment="1">
      <alignment horizontal="center"/>
    </xf>
    <xf numFmtId="9" fontId="0" fillId="0" borderId="14" xfId="0" applyNumberFormat="1" applyBorder="1" applyAlignment="1">
      <alignment horizontal="center"/>
    </xf>
    <xf numFmtId="0" fontId="0" fillId="0" borderId="42" xfId="0" applyBorder="1" applyAlignment="1">
      <alignment horizontal="center"/>
    </xf>
    <xf numFmtId="9" fontId="0" fillId="0" borderId="45" xfId="0" applyNumberFormat="1" applyBorder="1" applyAlignment="1">
      <alignment horizontal="center"/>
    </xf>
    <xf numFmtId="0" fontId="0" fillId="0" borderId="47" xfId="0" applyBorder="1" applyAlignment="1"/>
    <xf numFmtId="0" fontId="0" fillId="0" borderId="18" xfId="0" applyBorder="1" applyAlignment="1"/>
    <xf numFmtId="0" fontId="0" fillId="0" borderId="35" xfId="0" applyBorder="1" applyAlignment="1"/>
    <xf numFmtId="9" fontId="1" fillId="0" borderId="0" xfId="0" applyNumberFormat="1" applyFont="1" applyAlignment="1">
      <alignment horizontal="center"/>
    </xf>
    <xf numFmtId="9" fontId="0" fillId="0" borderId="0" xfId="0" applyNumberFormat="1" applyAlignment="1">
      <alignment horizontal="center"/>
    </xf>
    <xf numFmtId="2" fontId="0" fillId="0" borderId="45" xfId="0" applyNumberFormat="1" applyBorder="1"/>
    <xf numFmtId="2" fontId="0" fillId="0" borderId="42" xfId="0" applyNumberFormat="1" applyBorder="1"/>
    <xf numFmtId="0" fontId="0" fillId="0" borderId="47" xfId="0" applyNumberFormat="1" applyBorder="1" applyAlignment="1">
      <alignment horizontal="center"/>
    </xf>
    <xf numFmtId="0" fontId="0" fillId="3" borderId="18" xfId="0" applyNumberFormat="1" applyFill="1" applyBorder="1" applyAlignment="1">
      <alignment horizontal="center"/>
    </xf>
    <xf numFmtId="0" fontId="0" fillId="5" borderId="18" xfId="0" applyNumberFormat="1" applyFill="1" applyBorder="1" applyAlignment="1">
      <alignment horizontal="center"/>
    </xf>
    <xf numFmtId="0" fontId="0" fillId="3" borderId="18" xfId="0" applyFill="1" applyBorder="1"/>
    <xf numFmtId="9" fontId="0" fillId="7" borderId="42" xfId="0" applyNumberFormat="1" applyFill="1" applyBorder="1" applyAlignment="1">
      <alignment horizontal="center"/>
    </xf>
    <xf numFmtId="9" fontId="0" fillId="7" borderId="47" xfId="0" applyNumberFormat="1" applyFill="1" applyBorder="1" applyAlignment="1">
      <alignment horizontal="center"/>
    </xf>
    <xf numFmtId="9" fontId="0" fillId="7" borderId="0" xfId="0" applyNumberFormat="1" applyFill="1" applyBorder="1" applyAlignment="1">
      <alignment horizontal="center"/>
    </xf>
    <xf numFmtId="9" fontId="0" fillId="7" borderId="18" xfId="0" applyNumberFormat="1" applyFill="1" applyBorder="1" applyAlignment="1">
      <alignment horizontal="center"/>
    </xf>
    <xf numFmtId="9" fontId="0" fillId="7" borderId="14" xfId="0" applyNumberFormat="1" applyFill="1" applyBorder="1" applyAlignment="1">
      <alignment horizontal="center"/>
    </xf>
    <xf numFmtId="9" fontId="0" fillId="3" borderId="0" xfId="0" applyNumberFormat="1" applyFill="1" applyBorder="1" applyAlignment="1">
      <alignment horizontal="center"/>
    </xf>
    <xf numFmtId="9" fontId="0" fillId="3" borderId="18" xfId="0" applyNumberFormat="1" applyFill="1" applyBorder="1" applyAlignment="1">
      <alignment horizontal="center"/>
    </xf>
    <xf numFmtId="9" fontId="0" fillId="3" borderId="14" xfId="0" applyNumberForma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9" fontId="0" fillId="4" borderId="18" xfId="0" applyNumberFormat="1" applyFill="1" applyBorder="1" applyAlignment="1">
      <alignment horizontal="center"/>
    </xf>
    <xf numFmtId="9" fontId="0" fillId="4" borderId="0" xfId="0" applyNumberFormat="1" applyFill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11" xfId="0" applyBorder="1"/>
    <xf numFmtId="0" fontId="0" fillId="0" borderId="21" xfId="0" applyBorder="1" applyAlignment="1">
      <alignment horizontal="center"/>
    </xf>
    <xf numFmtId="0" fontId="0" fillId="0" borderId="21" xfId="0" applyNumberFormat="1" applyBorder="1" applyAlignment="1">
      <alignment horizontal="center" vertical="center"/>
    </xf>
    <xf numFmtId="0" fontId="0" fillId="0" borderId="48" xfId="0" applyNumberFormat="1" applyBorder="1" applyAlignment="1">
      <alignment horizontal="center" vertical="center"/>
    </xf>
    <xf numFmtId="0" fontId="0" fillId="0" borderId="23" xfId="0" applyNumberFormat="1" applyBorder="1" applyAlignment="1">
      <alignment horizontal="center" vertical="center"/>
    </xf>
    <xf numFmtId="0" fontId="0" fillId="0" borderId="49" xfId="0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8" borderId="0" xfId="0" applyNumberFormat="1" applyFill="1" applyBorder="1" applyAlignment="1">
      <alignment horizontal="center"/>
    </xf>
    <xf numFmtId="9" fontId="0" fillId="8" borderId="0" xfId="0" applyNumberFormat="1" applyFill="1"/>
    <xf numFmtId="9" fontId="0" fillId="9" borderId="0" xfId="0" applyNumberFormat="1" applyFill="1" applyBorder="1" applyAlignment="1">
      <alignment horizontal="center"/>
    </xf>
    <xf numFmtId="0" fontId="0" fillId="9" borderId="18" xfId="0" applyFill="1" applyBorder="1" applyAlignment="1">
      <alignment horizontal="center"/>
    </xf>
    <xf numFmtId="9" fontId="0" fillId="9" borderId="14" xfId="0" applyNumberFormat="1" applyFill="1" applyBorder="1" applyAlignment="1">
      <alignment horizontal="center"/>
    </xf>
    <xf numFmtId="0" fontId="0" fillId="10" borderId="0" xfId="0" applyFill="1" applyBorder="1" applyAlignment="1">
      <alignment horizontal="center"/>
    </xf>
    <xf numFmtId="9" fontId="0" fillId="10" borderId="0" xfId="0" applyNumberFormat="1" applyFill="1"/>
    <xf numFmtId="0" fontId="0" fillId="10" borderId="0" xfId="0" applyFill="1" applyBorder="1"/>
    <xf numFmtId="0" fontId="0" fillId="10" borderId="18" xfId="0" applyFill="1" applyBorder="1"/>
    <xf numFmtId="9" fontId="0" fillId="9" borderId="18" xfId="0" applyNumberFormat="1" applyFill="1" applyBorder="1" applyAlignment="1">
      <alignment horizontal="center"/>
    </xf>
    <xf numFmtId="0" fontId="3" fillId="0" borderId="0" xfId="0" applyFont="1" applyAlignment="1"/>
    <xf numFmtId="0" fontId="3" fillId="0" borderId="0" xfId="0" applyFont="1"/>
    <xf numFmtId="0" fontId="3" fillId="0" borderId="0" xfId="0" applyFont="1" applyAlignment="1">
      <alignment horizontal="left"/>
    </xf>
    <xf numFmtId="0" fontId="11" fillId="0" borderId="0" xfId="0" applyFont="1"/>
    <xf numFmtId="0" fontId="11" fillId="0" borderId="5" xfId="0" applyFont="1" applyBorder="1"/>
    <xf numFmtId="0" fontId="11" fillId="0" borderId="31" xfId="0" applyFont="1" applyBorder="1"/>
    <xf numFmtId="0" fontId="11" fillId="0" borderId="32" xfId="0" applyFont="1" applyBorder="1"/>
    <xf numFmtId="0" fontId="11" fillId="0" borderId="33" xfId="0" applyFont="1" applyBorder="1" applyAlignment="1">
      <alignment horizontal="center"/>
    </xf>
    <xf numFmtId="0" fontId="11" fillId="0" borderId="34" xfId="0" applyNumberFormat="1" applyFont="1" applyBorder="1" applyAlignment="1">
      <alignment horizontal="center"/>
    </xf>
    <xf numFmtId="0" fontId="11" fillId="0" borderId="26" xfId="0" applyFont="1" applyBorder="1"/>
    <xf numFmtId="0" fontId="11" fillId="0" borderId="0" xfId="0" applyFont="1" applyBorder="1"/>
    <xf numFmtId="0" fontId="11" fillId="0" borderId="27" xfId="0" applyFont="1" applyBorder="1"/>
    <xf numFmtId="0" fontId="11" fillId="0" borderId="18" xfId="0" applyFont="1" applyBorder="1"/>
    <xf numFmtId="164" fontId="11" fillId="0" borderId="18" xfId="0" applyNumberFormat="1" applyFont="1" applyBorder="1"/>
    <xf numFmtId="0" fontId="11" fillId="0" borderId="28" xfId="0" applyFont="1" applyBorder="1"/>
    <xf numFmtId="0" fontId="11" fillId="0" borderId="29" xfId="0" applyFont="1" applyBorder="1" applyAlignment="1">
      <alignment horizontal="right"/>
    </xf>
    <xf numFmtId="0" fontId="11" fillId="0" borderId="28" xfId="0" applyFont="1" applyBorder="1" applyAlignment="1">
      <alignment horizontal="right"/>
    </xf>
    <xf numFmtId="164" fontId="11" fillId="0" borderId="36" xfId="0" applyNumberFormat="1" applyFont="1" applyBorder="1"/>
    <xf numFmtId="164" fontId="11" fillId="0" borderId="34" xfId="0" applyNumberFormat="1" applyFont="1" applyBorder="1"/>
    <xf numFmtId="0" fontId="12" fillId="0" borderId="0" xfId="0" applyFont="1" applyAlignment="1">
      <alignment vertical="center"/>
    </xf>
    <xf numFmtId="0" fontId="14" fillId="2" borderId="0" xfId="0" applyFont="1" applyFill="1"/>
    <xf numFmtId="0" fontId="14" fillId="2" borderId="0" xfId="0" applyFont="1" applyFill="1" applyAlignment="1">
      <alignment horizontal="center"/>
    </xf>
    <xf numFmtId="164" fontId="0" fillId="3" borderId="2" xfId="0" applyNumberFormat="1" applyFill="1" applyBorder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9" fontId="11" fillId="0" borderId="0" xfId="0" applyNumberFormat="1" applyFont="1" applyBorder="1" applyAlignment="1"/>
    <xf numFmtId="49" fontId="0" fillId="2" borderId="0" xfId="0" applyNumberFormat="1" applyFill="1"/>
    <xf numFmtId="0" fontId="0" fillId="2" borderId="0" xfId="0" applyNumberFormat="1" applyFill="1" applyBorder="1" applyAlignment="1"/>
    <xf numFmtId="0" fontId="0" fillId="3" borderId="2" xfId="0" applyNumberFormat="1" applyFill="1" applyBorder="1" applyAlignment="1"/>
    <xf numFmtId="0" fontId="11" fillId="0" borderId="26" xfId="0" applyFont="1" applyBorder="1" applyAlignment="1"/>
    <xf numFmtId="0" fontId="0" fillId="0" borderId="29" xfId="0" applyNumberFormat="1" applyBorder="1" applyAlignment="1">
      <alignment vertical="top" textRotation="90"/>
    </xf>
    <xf numFmtId="0" fontId="0" fillId="0" borderId="0" xfId="0" applyAlignment="1">
      <alignment horizontal="center"/>
    </xf>
    <xf numFmtId="0" fontId="0" fillId="0" borderId="55" xfId="0" applyBorder="1" applyAlignment="1">
      <alignment horizontal="center"/>
    </xf>
    <xf numFmtId="49" fontId="0" fillId="0" borderId="25" xfId="0" applyNumberFormat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27" xfId="0" applyBorder="1"/>
    <xf numFmtId="0" fontId="0" fillId="0" borderId="2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0" fillId="2" borderId="29" xfId="0" applyFill="1" applyBorder="1" applyAlignment="1">
      <alignment horizontal="center"/>
    </xf>
    <xf numFmtId="0" fontId="0" fillId="0" borderId="30" xfId="0" applyBorder="1"/>
    <xf numFmtId="0" fontId="0" fillId="0" borderId="25" xfId="0" applyBorder="1" applyAlignment="1">
      <alignment horizontal="center"/>
    </xf>
    <xf numFmtId="167" fontId="0" fillId="0" borderId="27" xfId="0" applyNumberFormat="1" applyBorder="1"/>
    <xf numFmtId="0" fontId="0" fillId="0" borderId="26" xfId="0" applyBorder="1" applyAlignment="1">
      <alignment vertical="center"/>
    </xf>
    <xf numFmtId="0" fontId="0" fillId="0" borderId="0" xfId="0" applyBorder="1" applyAlignment="1">
      <alignment vertical="center"/>
    </xf>
    <xf numFmtId="167" fontId="0" fillId="0" borderId="27" xfId="0" applyNumberFormat="1" applyBorder="1" applyAlignment="1">
      <alignment vertical="center"/>
    </xf>
    <xf numFmtId="0" fontId="0" fillId="0" borderId="29" xfId="0" applyBorder="1" applyAlignment="1">
      <alignment horizontal="center"/>
    </xf>
    <xf numFmtId="0" fontId="0" fillId="0" borderId="29" xfId="0" applyBorder="1"/>
    <xf numFmtId="167" fontId="0" fillId="0" borderId="30" xfId="0" applyNumberFormat="1" applyBorder="1"/>
    <xf numFmtId="1" fontId="17" fillId="0" borderId="19" xfId="0" applyNumberFormat="1" applyFont="1" applyBorder="1" applyAlignment="1">
      <alignment horizontal="center"/>
    </xf>
    <xf numFmtId="1" fontId="17" fillId="0" borderId="2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18" xfId="0" applyNumberFormat="1" applyFont="1" applyBorder="1" applyAlignment="1">
      <alignment horizontal="center"/>
    </xf>
    <xf numFmtId="164" fontId="0" fillId="3" borderId="3" xfId="0" applyNumberFormat="1" applyFill="1" applyBorder="1"/>
    <xf numFmtId="164" fontId="15" fillId="3" borderId="56" xfId="0" applyNumberFormat="1" applyFont="1" applyFill="1" applyBorder="1" applyAlignment="1">
      <alignment horizontal="center"/>
    </xf>
    <xf numFmtId="0" fontId="18" fillId="2" borderId="0" xfId="0" applyFont="1" applyFill="1" applyAlignment="1">
      <alignment vertical="top"/>
    </xf>
    <xf numFmtId="0" fontId="19" fillId="6" borderId="0" xfId="0" applyFont="1" applyFill="1"/>
    <xf numFmtId="0" fontId="20" fillId="0" borderId="0" xfId="0" applyFont="1"/>
    <xf numFmtId="0" fontId="0" fillId="0" borderId="0" xfId="0" applyAlignment="1">
      <alignment horizontal="center"/>
    </xf>
    <xf numFmtId="1" fontId="0" fillId="0" borderId="0" xfId="0" applyNumberFormat="1" applyFont="1" applyAlignment="1">
      <alignment horizontal="left"/>
    </xf>
    <xf numFmtId="164" fontId="11" fillId="0" borderId="35" xfId="0" applyNumberFormat="1" applyFont="1" applyBorder="1"/>
    <xf numFmtId="0" fontId="0" fillId="0" borderId="55" xfId="0" applyNumberFormat="1" applyBorder="1" applyAlignment="1">
      <alignment horizontal="center"/>
    </xf>
    <xf numFmtId="0" fontId="0" fillId="0" borderId="55" xfId="0" applyBorder="1"/>
    <xf numFmtId="9" fontId="0" fillId="0" borderId="55" xfId="0" applyNumberFormat="1" applyBorder="1"/>
    <xf numFmtId="0" fontId="0" fillId="0" borderId="0" xfId="0" applyBorder="1" applyAlignment="1">
      <alignment horizontal="left"/>
    </xf>
    <xf numFmtId="0" fontId="0" fillId="0" borderId="10" xfId="0" applyNumberFormat="1" applyBorder="1" applyAlignment="1">
      <alignment horizontal="center"/>
    </xf>
    <xf numFmtId="2" fontId="0" fillId="0" borderId="10" xfId="0" applyNumberFormat="1" applyBorder="1"/>
    <xf numFmtId="0" fontId="0" fillId="0" borderId="10" xfId="0" applyBorder="1" applyAlignment="1">
      <alignment horizontal="left"/>
    </xf>
    <xf numFmtId="164" fontId="11" fillId="0" borderId="27" xfId="0" applyNumberFormat="1" applyFont="1" applyBorder="1"/>
    <xf numFmtId="9" fontId="11" fillId="0" borderId="41" xfId="0" applyNumberFormat="1" applyFont="1" applyBorder="1" applyAlignment="1"/>
    <xf numFmtId="0" fontId="11" fillId="0" borderId="44" xfId="0" applyFont="1" applyBorder="1" applyAlignment="1">
      <alignment horizontal="right"/>
    </xf>
    <xf numFmtId="9" fontId="11" fillId="0" borderId="15" xfId="0" applyNumberFormat="1" applyFont="1" applyBorder="1" applyAlignment="1"/>
    <xf numFmtId="0" fontId="11" fillId="0" borderId="16" xfId="0" applyFont="1" applyBorder="1" applyAlignment="1">
      <alignment horizontal="right"/>
    </xf>
    <xf numFmtId="0" fontId="0" fillId="3" borderId="4" xfId="0" applyFill="1" applyBorder="1" applyAlignment="1">
      <alignment horizontal="center"/>
    </xf>
    <xf numFmtId="0" fontId="10" fillId="6" borderId="0" xfId="0" applyFont="1" applyFill="1"/>
    <xf numFmtId="0" fontId="6" fillId="2" borderId="0" xfId="0" applyFont="1" applyFill="1" applyAlignment="1">
      <alignment horizontal="center"/>
    </xf>
    <xf numFmtId="0" fontId="0" fillId="2" borderId="0" xfId="0" applyFill="1" applyAlignment="1">
      <alignment horizontal="center" vertical="center"/>
    </xf>
    <xf numFmtId="164" fontId="0" fillId="3" borderId="3" xfId="0" applyNumberFormat="1" applyFill="1" applyBorder="1" applyAlignment="1"/>
    <xf numFmtId="0" fontId="0" fillId="2" borderId="0" xfId="0" applyFill="1" applyAlignment="1"/>
    <xf numFmtId="2" fontId="21" fillId="0" borderId="0" xfId="0" applyNumberFormat="1" applyFont="1" applyBorder="1" applyAlignment="1">
      <alignment vertical="center"/>
    </xf>
    <xf numFmtId="0" fontId="14" fillId="4" borderId="0" xfId="0" applyFont="1" applyFill="1" applyAlignment="1">
      <alignment horizontal="right"/>
    </xf>
    <xf numFmtId="44" fontId="11" fillId="0" borderId="0" xfId="0" applyNumberFormat="1" applyFont="1"/>
    <xf numFmtId="0" fontId="11" fillId="0" borderId="0" xfId="0" applyFont="1" applyAlignment="1">
      <alignment horizontal="left"/>
    </xf>
    <xf numFmtId="0" fontId="11" fillId="0" borderId="0" xfId="0" applyNumberFormat="1" applyFont="1"/>
    <xf numFmtId="0" fontId="11" fillId="0" borderId="0" xfId="0" applyFont="1" applyAlignment="1">
      <alignment horizontal="center"/>
    </xf>
    <xf numFmtId="0" fontId="11" fillId="0" borderId="0" xfId="0" applyFont="1" applyAlignment="1"/>
    <xf numFmtId="44" fontId="11" fillId="0" borderId="0" xfId="0" applyNumberFormat="1" applyFont="1" applyAlignment="1">
      <alignment horizontal="right"/>
    </xf>
    <xf numFmtId="2" fontId="11" fillId="0" borderId="0" xfId="0" applyNumberFormat="1" applyFont="1" applyAlignment="1">
      <alignment horizontal="right"/>
    </xf>
    <xf numFmtId="0" fontId="18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 textRotation="90"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 horizontal="left" textRotation="90"/>
    </xf>
    <xf numFmtId="0" fontId="0" fillId="0" borderId="0" xfId="0" applyNumberFormat="1" applyBorder="1" applyAlignment="1">
      <alignment horizontal="left"/>
    </xf>
    <xf numFmtId="0" fontId="0" fillId="0" borderId="0" xfId="0" applyFill="1" applyBorder="1"/>
    <xf numFmtId="0" fontId="0" fillId="11" borderId="0" xfId="0" applyNumberFormat="1" applyFill="1" applyBorder="1" applyAlignment="1">
      <alignment horizontal="center"/>
    </xf>
    <xf numFmtId="0" fontId="0" fillId="11" borderId="0" xfId="0" applyFill="1" applyBorder="1" applyAlignment="1">
      <alignment horizontal="center"/>
    </xf>
    <xf numFmtId="0" fontId="0" fillId="0" borderId="42" xfId="0" applyNumberFormat="1" applyBorder="1" applyAlignment="1">
      <alignment horizontal="left"/>
    </xf>
    <xf numFmtId="0" fontId="0" fillId="0" borderId="45" xfId="0" applyBorder="1" applyAlignment="1">
      <alignment horizontal="left"/>
    </xf>
    <xf numFmtId="9" fontId="0" fillId="4" borderId="0" xfId="0" applyNumberFormat="1" applyFill="1" applyBorder="1" applyAlignment="1">
      <alignment horizontal="center"/>
    </xf>
    <xf numFmtId="9" fontId="0" fillId="4" borderId="14" xfId="0" applyNumberFormat="1" applyFill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10" borderId="45" xfId="0" applyFill="1" applyBorder="1"/>
    <xf numFmtId="9" fontId="0" fillId="0" borderId="16" xfId="0" applyNumberFormat="1" applyBorder="1" applyAlignment="1">
      <alignment horizontal="center"/>
    </xf>
    <xf numFmtId="0" fontId="0" fillId="0" borderId="2" xfId="0" applyFill="1" applyBorder="1"/>
    <xf numFmtId="0" fontId="0" fillId="0" borderId="0" xfId="0" applyAlignment="1">
      <alignment horizontal="center"/>
    </xf>
    <xf numFmtId="0" fontId="0" fillId="2" borderId="0" xfId="0" applyFill="1" applyBorder="1"/>
    <xf numFmtId="164" fontId="0" fillId="0" borderId="0" xfId="0" applyNumberFormat="1" applyAlignment="1">
      <alignment horizontal="right"/>
    </xf>
    <xf numFmtId="169" fontId="0" fillId="0" borderId="0" xfId="0" applyNumberFormat="1"/>
    <xf numFmtId="0" fontId="9" fillId="0" borderId="29" xfId="0" applyFont="1" applyBorder="1" applyAlignment="1">
      <alignment horizontal="left"/>
    </xf>
    <xf numFmtId="0" fontId="23" fillId="2" borderId="0" xfId="0" applyFont="1" applyFill="1" applyAlignment="1">
      <alignment horizontal="left"/>
    </xf>
    <xf numFmtId="0" fontId="0" fillId="3" borderId="0" xfId="0" applyFill="1" applyAlignment="1">
      <alignment horizontal="center" vertical="center"/>
    </xf>
    <xf numFmtId="0" fontId="22" fillId="2" borderId="0" xfId="0" applyFont="1" applyFill="1" applyAlignment="1">
      <alignment horizontal="right"/>
    </xf>
    <xf numFmtId="44" fontId="5" fillId="2" borderId="0" xfId="0" applyNumberFormat="1" applyFont="1" applyFill="1" applyBorder="1" applyAlignment="1">
      <alignment horizontal="center"/>
    </xf>
    <xf numFmtId="164" fontId="0" fillId="2" borderId="0" xfId="0" applyNumberFormat="1" applyFill="1" applyBorder="1"/>
    <xf numFmtId="164" fontId="15" fillId="4" borderId="51" xfId="0" applyNumberFormat="1" applyFont="1" applyFill="1" applyBorder="1" applyAlignment="1">
      <alignment horizontal="center" vertical="center"/>
    </xf>
    <xf numFmtId="164" fontId="15" fillId="4" borderId="52" xfId="0" applyNumberFormat="1" applyFont="1" applyFill="1" applyBorder="1" applyAlignment="1">
      <alignment horizontal="center" vertical="center"/>
    </xf>
    <xf numFmtId="0" fontId="18" fillId="2" borderId="0" xfId="0" applyFont="1" applyFill="1" applyAlignment="1">
      <alignment horizontal="right" vertical="top"/>
    </xf>
    <xf numFmtId="0" fontId="0" fillId="2" borderId="41" xfId="0" applyFill="1" applyBorder="1"/>
    <xf numFmtId="0" fontId="0" fillId="2" borderId="13" xfId="0" applyFill="1" applyBorder="1"/>
    <xf numFmtId="0" fontId="0" fillId="2" borderId="0" xfId="0" applyFill="1" applyBorder="1" applyAlignment="1">
      <alignment horizontal="right" vertical="center"/>
    </xf>
    <xf numFmtId="0" fontId="0" fillId="2" borderId="45" xfId="0" applyFill="1" applyBorder="1"/>
    <xf numFmtId="164" fontId="15" fillId="4" borderId="57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64" fontId="15" fillId="4" borderId="48" xfId="0" applyNumberFormat="1" applyFont="1" applyFill="1" applyBorder="1" applyAlignment="1">
      <alignment horizontal="center"/>
    </xf>
    <xf numFmtId="164" fontId="15" fillId="4" borderId="49" xfId="0" applyNumberFormat="1" applyFont="1" applyFill="1" applyBorder="1" applyAlignment="1">
      <alignment horizontal="center"/>
    </xf>
    <xf numFmtId="0" fontId="6" fillId="2" borderId="45" xfId="0" applyFont="1" applyFill="1" applyBorder="1" applyAlignment="1">
      <alignment vertical="center"/>
    </xf>
    <xf numFmtId="164" fontId="0" fillId="3" borderId="6" xfId="0" applyNumberFormat="1" applyFill="1" applyBorder="1" applyAlignment="1">
      <alignment horizontal="right"/>
    </xf>
    <xf numFmtId="164" fontId="13" fillId="12" borderId="51" xfId="0" applyNumberFormat="1" applyFont="1" applyFill="1" applyBorder="1" applyAlignment="1">
      <alignment vertical="center"/>
    </xf>
    <xf numFmtId="164" fontId="13" fillId="12" borderId="56" xfId="0" applyNumberFormat="1" applyFont="1" applyFill="1" applyBorder="1" applyAlignment="1">
      <alignment horizontal="right" vertical="center"/>
    </xf>
    <xf numFmtId="164" fontId="13" fillId="12" borderId="57" xfId="0" applyNumberFormat="1" applyFont="1" applyFill="1" applyBorder="1" applyAlignment="1">
      <alignment vertical="center"/>
    </xf>
    <xf numFmtId="164" fontId="13" fillId="12" borderId="51" xfId="0" applyNumberFormat="1" applyFont="1" applyFill="1" applyBorder="1" applyAlignment="1">
      <alignment horizontal="right" vertical="center"/>
    </xf>
    <xf numFmtId="164" fontId="13" fillId="12" borderId="1" xfId="0" applyNumberFormat="1" applyFont="1" applyFill="1" applyBorder="1" applyAlignment="1">
      <alignment horizontal="right" vertical="center"/>
    </xf>
    <xf numFmtId="164" fontId="13" fillId="12" borderId="52" xfId="0" applyNumberFormat="1" applyFont="1" applyFill="1" applyBorder="1" applyAlignment="1">
      <alignment vertical="center"/>
    </xf>
    <xf numFmtId="164" fontId="16" fillId="12" borderId="7" xfId="0" applyNumberFormat="1" applyFont="1" applyFill="1" applyBorder="1" applyAlignment="1">
      <alignment horizontal="center"/>
    </xf>
    <xf numFmtId="164" fontId="16" fillId="12" borderId="4" xfId="0" applyNumberFormat="1" applyFont="1" applyFill="1" applyBorder="1" applyAlignment="1">
      <alignment horizontal="center"/>
    </xf>
    <xf numFmtId="164" fontId="0" fillId="12" borderId="1" xfId="0" applyNumberFormat="1" applyFill="1" applyBorder="1"/>
    <xf numFmtId="164" fontId="0" fillId="12" borderId="2" xfId="0" applyNumberFormat="1" applyFill="1" applyBorder="1"/>
    <xf numFmtId="0" fontId="0" fillId="13" borderId="0" xfId="0" applyFill="1"/>
    <xf numFmtId="164" fontId="0" fillId="4" borderId="6" xfId="0" applyNumberFormat="1" applyFill="1" applyBorder="1" applyAlignment="1">
      <alignment horizontal="right"/>
    </xf>
    <xf numFmtId="164" fontId="0" fillId="4" borderId="3" xfId="0" applyNumberFormat="1" applyFill="1" applyBorder="1"/>
    <xf numFmtId="0" fontId="6" fillId="2" borderId="0" xfId="0" applyFont="1" applyFill="1" applyBorder="1" applyAlignment="1">
      <alignment vertical="center"/>
    </xf>
    <xf numFmtId="164" fontId="1" fillId="4" borderId="0" xfId="0" applyNumberFormat="1" applyFont="1" applyFill="1" applyBorder="1" applyAlignment="1">
      <alignment horizontal="center" vertical="center"/>
    </xf>
    <xf numFmtId="164" fontId="15" fillId="2" borderId="0" xfId="0" applyNumberFormat="1" applyFont="1" applyFill="1" applyBorder="1" applyAlignment="1">
      <alignment horizontal="center" vertical="center"/>
    </xf>
    <xf numFmtId="164" fontId="13" fillId="2" borderId="0" xfId="0" applyNumberFormat="1" applyFont="1" applyFill="1" applyBorder="1" applyAlignment="1">
      <alignment vertical="center"/>
    </xf>
    <xf numFmtId="0" fontId="14" fillId="2" borderId="0" xfId="0" applyFont="1" applyFill="1" applyAlignment="1">
      <alignment horizontal="right"/>
    </xf>
    <xf numFmtId="0" fontId="0" fillId="2" borderId="15" xfId="0" applyFill="1" applyBorder="1" applyAlignment="1">
      <alignment horizontal="right"/>
    </xf>
    <xf numFmtId="2" fontId="0" fillId="0" borderId="25" xfId="0" applyNumberFormat="1" applyBorder="1"/>
    <xf numFmtId="2" fontId="0" fillId="0" borderId="17" xfId="0" applyNumberFormat="1" applyBorder="1"/>
    <xf numFmtId="9" fontId="0" fillId="0" borderId="25" xfId="0" applyNumberFormat="1" applyBorder="1"/>
    <xf numFmtId="0" fontId="13" fillId="0" borderId="0" xfId="0" applyFont="1"/>
    <xf numFmtId="9" fontId="13" fillId="0" borderId="0" xfId="0" applyNumberFormat="1" applyFont="1"/>
    <xf numFmtId="10" fontId="13" fillId="0" borderId="0" xfId="0" applyNumberFormat="1" applyFont="1"/>
    <xf numFmtId="164" fontId="0" fillId="12" borderId="52" xfId="0" applyNumberFormat="1" applyFill="1" applyBorder="1"/>
    <xf numFmtId="0" fontId="0" fillId="2" borderId="45" xfId="0" applyFill="1" applyBorder="1" applyAlignment="1">
      <alignment horizontal="right"/>
    </xf>
    <xf numFmtId="0" fontId="14" fillId="2" borderId="45" xfId="0" applyFont="1" applyFill="1" applyBorder="1" applyAlignment="1">
      <alignment horizontal="right"/>
    </xf>
    <xf numFmtId="0" fontId="18" fillId="2" borderId="45" xfId="0" applyFont="1" applyFill="1" applyBorder="1" applyAlignment="1">
      <alignment horizontal="left" vertical="center"/>
    </xf>
    <xf numFmtId="0" fontId="0" fillId="0" borderId="24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3" borderId="2" xfId="0" applyFill="1" applyBorder="1"/>
    <xf numFmtId="44" fontId="5" fillId="10" borderId="53" xfId="0" applyNumberFormat="1" applyFont="1" applyFill="1" applyBorder="1" applyAlignment="1">
      <alignment horizontal="center"/>
    </xf>
    <xf numFmtId="44" fontId="5" fillId="10" borderId="54" xfId="0" applyNumberFormat="1" applyFont="1" applyFill="1" applyBorder="1" applyAlignment="1">
      <alignment horizontal="center"/>
    </xf>
    <xf numFmtId="44" fontId="5" fillId="10" borderId="15" xfId="0" applyNumberFormat="1" applyFont="1" applyFill="1" applyBorder="1" applyAlignment="1">
      <alignment horizontal="center"/>
    </xf>
    <xf numFmtId="44" fontId="5" fillId="10" borderId="16" xfId="0" applyNumberFormat="1" applyFont="1" applyFill="1" applyBorder="1" applyAlignment="1">
      <alignment horizontal="center"/>
    </xf>
    <xf numFmtId="0" fontId="0" fillId="3" borderId="4" xfId="0" applyNumberFormat="1" applyFill="1" applyBorder="1" applyAlignment="1">
      <alignment horizontal="center"/>
    </xf>
    <xf numFmtId="0" fontId="0" fillId="3" borderId="3" xfId="0" applyNumberFormat="1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37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38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39" xfId="0" applyFill="1" applyBorder="1" applyAlignment="1">
      <alignment horizontal="center"/>
    </xf>
    <xf numFmtId="0" fontId="0" fillId="3" borderId="50" xfId="0" applyFill="1" applyBorder="1" applyAlignment="1">
      <alignment horizontal="left"/>
    </xf>
    <xf numFmtId="0" fontId="0" fillId="3" borderId="40" xfId="0" applyFill="1" applyBorder="1" applyAlignment="1">
      <alignment horizontal="left"/>
    </xf>
    <xf numFmtId="0" fontId="0" fillId="2" borderId="0" xfId="0" applyFill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32" xfId="0" applyFill="1" applyBorder="1" applyAlignment="1">
      <alignment horizontal="center"/>
    </xf>
    <xf numFmtId="0" fontId="0" fillId="2" borderId="14" xfId="0" applyFill="1" applyBorder="1" applyAlignment="1">
      <alignment horizontal="center" vertical="center"/>
    </xf>
    <xf numFmtId="164" fontId="0" fillId="12" borderId="15" xfId="0" applyNumberFormat="1" applyFill="1" applyBorder="1" applyAlignment="1">
      <alignment horizontal="right"/>
    </xf>
    <xf numFmtId="164" fontId="0" fillId="12" borderId="46" xfId="0" applyNumberFormat="1" applyFill="1" applyBorder="1" applyAlignment="1">
      <alignment horizontal="right"/>
    </xf>
    <xf numFmtId="0" fontId="0" fillId="4" borderId="22" xfId="0" applyFill="1" applyBorder="1" applyAlignment="1">
      <alignment horizontal="center"/>
    </xf>
    <xf numFmtId="0" fontId="0" fillId="4" borderId="48" xfId="0" applyFill="1" applyBorder="1" applyAlignment="1">
      <alignment horizontal="center"/>
    </xf>
    <xf numFmtId="44" fontId="7" fillId="10" borderId="6" xfId="0" applyNumberFormat="1" applyFont="1" applyFill="1" applyBorder="1" applyAlignment="1">
      <alignment horizontal="center" vertical="center"/>
    </xf>
    <xf numFmtId="44" fontId="7" fillId="10" borderId="2" xfId="0" applyNumberFormat="1" applyFont="1" applyFill="1" applyBorder="1" applyAlignment="1">
      <alignment horizontal="center" vertical="center"/>
    </xf>
    <xf numFmtId="164" fontId="1" fillId="4" borderId="8" xfId="0" applyNumberFormat="1" applyFont="1" applyFill="1" applyBorder="1" applyAlignment="1">
      <alignment horizontal="center" vertical="center"/>
    </xf>
    <xf numFmtId="164" fontId="1" fillId="4" borderId="49" xfId="0" applyNumberFormat="1" applyFont="1" applyFill="1" applyBorder="1" applyAlignment="1">
      <alignment horizontal="center" vertical="center"/>
    </xf>
    <xf numFmtId="0" fontId="0" fillId="3" borderId="4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0" fillId="3" borderId="58" xfId="0" applyFill="1" applyBorder="1" applyAlignment="1">
      <alignment horizontal="center"/>
    </xf>
    <xf numFmtId="0" fontId="0" fillId="3" borderId="59" xfId="0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44" fontId="7" fillId="10" borderId="7" xfId="0" applyNumberFormat="1" applyFont="1" applyFill="1" applyBorder="1" applyAlignment="1">
      <alignment horizontal="center" vertical="center"/>
    </xf>
    <xf numFmtId="44" fontId="7" fillId="10" borderId="38" xfId="0" applyNumberFormat="1" applyFont="1" applyFill="1" applyBorder="1" applyAlignment="1">
      <alignment horizontal="center" vertical="center"/>
    </xf>
    <xf numFmtId="44" fontId="7" fillId="10" borderId="3" xfId="0" applyNumberFormat="1" applyFont="1" applyFill="1" applyBorder="1" applyAlignment="1">
      <alignment horizontal="center" vertical="center"/>
    </xf>
    <xf numFmtId="44" fontId="7" fillId="10" borderId="4" xfId="0" applyNumberFormat="1" applyFont="1" applyFill="1" applyBorder="1" applyAlignment="1">
      <alignment horizontal="center" vertical="center"/>
    </xf>
    <xf numFmtId="44" fontId="7" fillId="10" borderId="39" xfId="0" applyNumberFormat="1" applyFont="1" applyFill="1" applyBorder="1" applyAlignment="1">
      <alignment horizontal="center" vertical="center"/>
    </xf>
    <xf numFmtId="164" fontId="1" fillId="4" borderId="60" xfId="0" applyNumberFormat="1" applyFont="1" applyFill="1" applyBorder="1" applyAlignment="1">
      <alignment horizontal="right"/>
    </xf>
    <xf numFmtId="164" fontId="1" fillId="4" borderId="61" xfId="0" applyNumberFormat="1" applyFont="1" applyFill="1" applyBorder="1" applyAlignment="1">
      <alignment horizontal="right"/>
    </xf>
    <xf numFmtId="164" fontId="1" fillId="4" borderId="50" xfId="0" applyNumberFormat="1" applyFont="1" applyFill="1" applyBorder="1" applyAlignment="1">
      <alignment horizontal="right"/>
    </xf>
    <xf numFmtId="164" fontId="1" fillId="4" borderId="40" xfId="0" applyNumberFormat="1" applyFont="1" applyFill="1" applyBorder="1" applyAlignment="1">
      <alignment horizontal="right"/>
    </xf>
    <xf numFmtId="164" fontId="1" fillId="4" borderId="9" xfId="0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27" xfId="0" applyFont="1" applyBorder="1" applyAlignment="1">
      <alignment horizontal="left"/>
    </xf>
    <xf numFmtId="0" fontId="11" fillId="0" borderId="0" xfId="0" applyFont="1" applyAlignment="1">
      <alignment horizontal="left"/>
    </xf>
    <xf numFmtId="2" fontId="11" fillId="0" borderId="0" xfId="0" applyNumberFormat="1" applyFont="1" applyAlignment="1">
      <alignment horizontal="right"/>
    </xf>
    <xf numFmtId="0" fontId="11" fillId="0" borderId="0" xfId="0" applyNumberFormat="1" applyFont="1" applyAlignment="1">
      <alignment horizontal="left"/>
    </xf>
    <xf numFmtId="14" fontId="11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center" textRotation="90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4" xfId="0" applyBorder="1" applyAlignment="1">
      <alignment horizontal="center" textRotation="90"/>
    </xf>
    <xf numFmtId="0" fontId="0" fillId="0" borderId="26" xfId="0" applyBorder="1" applyAlignment="1">
      <alignment horizontal="center" textRotation="90"/>
    </xf>
    <xf numFmtId="0" fontId="0" fillId="0" borderId="28" xfId="0" applyBorder="1" applyAlignment="1">
      <alignment horizontal="center" textRotation="90"/>
    </xf>
    <xf numFmtId="0" fontId="0" fillId="0" borderId="0" xfId="0" applyNumberFormat="1" applyAlignment="1">
      <alignment horizontal="center" textRotation="90"/>
    </xf>
    <xf numFmtId="0" fontId="0" fillId="0" borderId="0" xfId="0" applyNumberFormat="1" applyAlignment="1">
      <alignment horizontal="center"/>
    </xf>
  </cellXfs>
  <cellStyles count="1">
    <cellStyle name="Standard" xfId="0" builtinId="0"/>
  </cellStyles>
  <dxfs count="22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Drop" dropStyle="combo" dx="16" fmlaLink="Rechner!$B$49" fmlaRange="Rechner!$B$46:$B$47" noThreeD="1" sel="1" val="0"/>
</file>

<file path=xl/ctrlProps/ctrlProp10.xml><?xml version="1.0" encoding="utf-8"?>
<formControlPr xmlns="http://schemas.microsoft.com/office/spreadsheetml/2009/9/main" objectType="Drop" dropLines="27" dropStyle="combo" dx="16" fmlaLink="Rechner!$N$36" fmlaRange="Rechner!$N$9:$N$35" noThreeD="1" sel="1" val="0"/>
</file>

<file path=xl/ctrlProps/ctrlProp11.xml><?xml version="1.0" encoding="utf-8"?>
<formControlPr xmlns="http://schemas.microsoft.com/office/spreadsheetml/2009/9/main" objectType="Drop" dropLines="22" dropStyle="combo" dx="16" fmlaLink="Rechner!$N$117" fmlaRange="Rechner!$N$95:$N$116" noThreeD="1" sel="2" val="0"/>
</file>

<file path=xl/ctrlProps/ctrlProp12.xml><?xml version="1.0" encoding="utf-8"?>
<formControlPr xmlns="http://schemas.microsoft.com/office/spreadsheetml/2009/9/main" objectType="Drop" dropLines="21" dropStyle="combo" dx="16" fmlaLink="Rechner!$N$148" fmlaRange="Rechner!$N$126:$N$146" noThreeD="1" sel="1" val="0"/>
</file>

<file path=xl/ctrlProps/ctrlProp13.xml><?xml version="1.0" encoding="utf-8"?>
<formControlPr xmlns="http://schemas.microsoft.com/office/spreadsheetml/2009/9/main" objectType="Drop" dropLines="21" dropStyle="combo" dx="16" fmlaLink="Rechner!$N$150" fmlaRange="Rechner!$N$126:$N$146" noThreeD="1" sel="1" val="0"/>
</file>

<file path=xl/ctrlProps/ctrlProp14.xml><?xml version="1.0" encoding="utf-8"?>
<formControlPr xmlns="http://schemas.microsoft.com/office/spreadsheetml/2009/9/main" objectType="Drop" dropLines="21" dropStyle="combo" dx="16" fmlaLink="Rechner!$X$148" fmlaRange="Rechner!$X$126:$X$146" noThreeD="1" sel="1" val="0"/>
</file>

<file path=xl/ctrlProps/ctrlProp15.xml><?xml version="1.0" encoding="utf-8"?>
<formControlPr xmlns="http://schemas.microsoft.com/office/spreadsheetml/2009/9/main" objectType="Drop" dropStyle="combo" dx="16" fmlaLink="Rechner!$AG$38" fmlaRange="Rechner!$AG$36:$AG$37" noThreeD="1" sel="1" val="0"/>
</file>

<file path=xl/ctrlProps/ctrlProp16.xml><?xml version="1.0" encoding="utf-8"?>
<formControlPr xmlns="http://schemas.microsoft.com/office/spreadsheetml/2009/9/main" objectType="Drop" dropStyle="combo" dx="16" fmlaLink="Rechner!$F$36" fmlaRange="Preise!$B$17:$B$19" noThreeD="1" sel="2" val="0"/>
</file>

<file path=xl/ctrlProps/ctrlProp2.xml><?xml version="1.0" encoding="utf-8"?>
<formControlPr xmlns="http://schemas.microsoft.com/office/spreadsheetml/2009/9/main" objectType="Drop" dropStyle="combo" dx="16" fmlaLink="Rechner!$E$49" fmlaRange="Rechner!$E$46:$E$47" noThreeD="1" sel="2" val="0"/>
</file>

<file path=xl/ctrlProps/ctrlProp3.xml><?xml version="1.0" encoding="utf-8"?>
<formControlPr xmlns="http://schemas.microsoft.com/office/spreadsheetml/2009/9/main" objectType="Drop" dropStyle="combo" dx="16" fmlaLink="Rechner!$G$49" fmlaRange="Rechner!$G$45:$G$47" noThreeD="1" sel="2" val="0"/>
</file>

<file path=xl/ctrlProps/ctrlProp4.xml><?xml version="1.0" encoding="utf-8"?>
<formControlPr xmlns="http://schemas.microsoft.com/office/spreadsheetml/2009/9/main" objectType="Drop" dropLines="33" dropStyle="combo" dx="16" fmlaLink="Rechner!$N$80" fmlaRange="Rechner!$N$46:$N$78" noThreeD="1" sel="6" val="0"/>
</file>

<file path=xl/ctrlProps/ctrlProp5.xml><?xml version="1.0" encoding="utf-8"?>
<formControlPr xmlns="http://schemas.microsoft.com/office/spreadsheetml/2009/9/main" objectType="Drop" dropLines="9" dropStyle="combo" dx="16" fmlaLink="Rechner!$V$80" fmlaRange="Rechner!$X$46:$X$54" noThreeD="1" sel="2" val="0"/>
</file>

<file path=xl/ctrlProps/ctrlProp6.xml><?xml version="1.0" encoding="utf-8"?>
<formControlPr xmlns="http://schemas.microsoft.com/office/spreadsheetml/2009/9/main" objectType="Drop" dropStyle="combo" dx="16" fmlaLink="Rechner!$X$38" fmlaRange="Rechner!$X$36:$X$37" noThreeD="1" sel="1" val="0"/>
</file>

<file path=xl/ctrlProps/ctrlProp7.xml><?xml version="1.0" encoding="utf-8"?>
<formControlPr xmlns="http://schemas.microsoft.com/office/spreadsheetml/2009/9/main" objectType="Drop" dropStyle="combo" dx="16" fmlaLink="Rechner!$Z$38" fmlaRange="Rechner!$Z$36:$Z$37" noThreeD="1" sel="1" val="0"/>
</file>

<file path=xl/ctrlProps/ctrlProp8.xml><?xml version="1.0" encoding="utf-8"?>
<formControlPr xmlns="http://schemas.microsoft.com/office/spreadsheetml/2009/9/main" objectType="Drop" dropStyle="combo" dx="16" fmlaLink="Rechner!$AB$38" fmlaRange="Rechner!$AB$36:$AB$37" noThreeD="1" sel="1" val="0"/>
</file>

<file path=xl/ctrlProps/ctrlProp9.xml><?xml version="1.0" encoding="utf-8"?>
<formControlPr xmlns="http://schemas.microsoft.com/office/spreadsheetml/2009/9/main" objectType="Drop" dropStyle="combo" dx="16" fmlaLink="Rechner!$AC$38" fmlaRange="Rechner!$AC$36:$AC$37" noThreeD="1" sel="1" val="0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66675</xdr:colOff>
          <xdr:row>1</xdr:row>
          <xdr:rowOff>9525</xdr:rowOff>
        </xdr:from>
        <xdr:to>
          <xdr:col>10</xdr:col>
          <xdr:colOff>742950</xdr:colOff>
          <xdr:row>2</xdr:row>
          <xdr:rowOff>0</xdr:rowOff>
        </xdr:to>
        <xdr:sp macro="" textlink="">
          <xdr:nvSpPr>
            <xdr:cNvPr id="2049" name="Drop Down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9</xdr:row>
          <xdr:rowOff>9525</xdr:rowOff>
        </xdr:from>
        <xdr:to>
          <xdr:col>6</xdr:col>
          <xdr:colOff>752475</xdr:colOff>
          <xdr:row>10</xdr:row>
          <xdr:rowOff>9525</xdr:rowOff>
        </xdr:to>
        <xdr:sp macro="" textlink="">
          <xdr:nvSpPr>
            <xdr:cNvPr id="2050" name="Drop Down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9</xdr:row>
          <xdr:rowOff>9525</xdr:rowOff>
        </xdr:from>
        <xdr:to>
          <xdr:col>8</xdr:col>
          <xdr:colOff>266700</xdr:colOff>
          <xdr:row>9</xdr:row>
          <xdr:rowOff>219075</xdr:rowOff>
        </xdr:to>
        <xdr:sp macro="" textlink="">
          <xdr:nvSpPr>
            <xdr:cNvPr id="2051" name="Drop Down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11</xdr:row>
          <xdr:rowOff>0</xdr:rowOff>
        </xdr:from>
        <xdr:to>
          <xdr:col>4</xdr:col>
          <xdr:colOff>542925</xdr:colOff>
          <xdr:row>12</xdr:row>
          <xdr:rowOff>0</xdr:rowOff>
        </xdr:to>
        <xdr:sp macro="" textlink="">
          <xdr:nvSpPr>
            <xdr:cNvPr id="2052" name="Drop Down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11</xdr:row>
          <xdr:rowOff>0</xdr:rowOff>
        </xdr:from>
        <xdr:to>
          <xdr:col>7</xdr:col>
          <xdr:colOff>304800</xdr:colOff>
          <xdr:row>12</xdr:row>
          <xdr:rowOff>0</xdr:rowOff>
        </xdr:to>
        <xdr:sp macro="" textlink="">
          <xdr:nvSpPr>
            <xdr:cNvPr id="2054" name="Drop Down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6</xdr:row>
          <xdr:rowOff>19050</xdr:rowOff>
        </xdr:from>
        <xdr:to>
          <xdr:col>10</xdr:col>
          <xdr:colOff>752475</xdr:colOff>
          <xdr:row>6</xdr:row>
          <xdr:rowOff>152400</xdr:rowOff>
        </xdr:to>
        <xdr:sp macro="" textlink="">
          <xdr:nvSpPr>
            <xdr:cNvPr id="2056" name="Drop Down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11</xdr:row>
          <xdr:rowOff>9525</xdr:rowOff>
        </xdr:from>
        <xdr:to>
          <xdr:col>10</xdr:col>
          <xdr:colOff>752475</xdr:colOff>
          <xdr:row>11</xdr:row>
          <xdr:rowOff>133350</xdr:rowOff>
        </xdr:to>
        <xdr:sp macro="" textlink="">
          <xdr:nvSpPr>
            <xdr:cNvPr id="2057" name="Drop Down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13</xdr:row>
          <xdr:rowOff>9525</xdr:rowOff>
        </xdr:from>
        <xdr:to>
          <xdr:col>11</xdr:col>
          <xdr:colOff>9525</xdr:colOff>
          <xdr:row>13</xdr:row>
          <xdr:rowOff>123825</xdr:rowOff>
        </xdr:to>
        <xdr:sp macro="" textlink="">
          <xdr:nvSpPr>
            <xdr:cNvPr id="2058" name="Drop Down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4</xdr:row>
          <xdr:rowOff>19050</xdr:rowOff>
        </xdr:from>
        <xdr:to>
          <xdr:col>10</xdr:col>
          <xdr:colOff>752475</xdr:colOff>
          <xdr:row>4</xdr:row>
          <xdr:rowOff>161925</xdr:rowOff>
        </xdr:to>
        <xdr:sp macro="" textlink="">
          <xdr:nvSpPr>
            <xdr:cNvPr id="2059" name="Drop Down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9</xdr:row>
          <xdr:rowOff>0</xdr:rowOff>
        </xdr:from>
        <xdr:to>
          <xdr:col>5</xdr:col>
          <xdr:colOff>0</xdr:colOff>
          <xdr:row>10</xdr:row>
          <xdr:rowOff>0</xdr:rowOff>
        </xdr:to>
        <xdr:sp macro="" textlink="">
          <xdr:nvSpPr>
            <xdr:cNvPr id="2053" name="Drop Down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17</xdr:row>
          <xdr:rowOff>0</xdr:rowOff>
        </xdr:from>
        <xdr:to>
          <xdr:col>4</xdr:col>
          <xdr:colOff>0</xdr:colOff>
          <xdr:row>18</xdr:row>
          <xdr:rowOff>38100</xdr:rowOff>
        </xdr:to>
        <xdr:sp macro="" textlink="">
          <xdr:nvSpPr>
            <xdr:cNvPr id="2060" name="Drop Down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21</xdr:row>
          <xdr:rowOff>9525</xdr:rowOff>
        </xdr:from>
        <xdr:to>
          <xdr:col>4</xdr:col>
          <xdr:colOff>0</xdr:colOff>
          <xdr:row>22</xdr:row>
          <xdr:rowOff>0</xdr:rowOff>
        </xdr:to>
        <xdr:sp macro="" textlink="">
          <xdr:nvSpPr>
            <xdr:cNvPr id="2061" name="Drop Down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22</xdr:row>
          <xdr:rowOff>9525</xdr:rowOff>
        </xdr:from>
        <xdr:to>
          <xdr:col>4</xdr:col>
          <xdr:colOff>9525</xdr:colOff>
          <xdr:row>23</xdr:row>
          <xdr:rowOff>19050</xdr:rowOff>
        </xdr:to>
        <xdr:sp macro="" textlink="">
          <xdr:nvSpPr>
            <xdr:cNvPr id="2062" name="Drop Down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30</xdr:row>
          <xdr:rowOff>0</xdr:rowOff>
        </xdr:from>
        <xdr:to>
          <xdr:col>4</xdr:col>
          <xdr:colOff>752475</xdr:colOff>
          <xdr:row>30</xdr:row>
          <xdr:rowOff>190500</xdr:rowOff>
        </xdr:to>
        <xdr:sp macro="" textlink="">
          <xdr:nvSpPr>
            <xdr:cNvPr id="2063" name="Drop Down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9</xdr:row>
          <xdr:rowOff>19050</xdr:rowOff>
        </xdr:from>
        <xdr:to>
          <xdr:col>10</xdr:col>
          <xdr:colOff>752475</xdr:colOff>
          <xdr:row>9</xdr:row>
          <xdr:rowOff>152400</xdr:rowOff>
        </xdr:to>
        <xdr:sp macro="" textlink="">
          <xdr:nvSpPr>
            <xdr:cNvPr id="2064" name="Drop Down 16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333375</xdr:colOff>
          <xdr:row>1</xdr:row>
          <xdr:rowOff>9525</xdr:rowOff>
        </xdr:from>
        <xdr:to>
          <xdr:col>16</xdr:col>
          <xdr:colOff>161925</xdr:colOff>
          <xdr:row>1</xdr:row>
          <xdr:rowOff>219075</xdr:rowOff>
        </xdr:to>
        <xdr:sp macro="" textlink="">
          <xdr:nvSpPr>
            <xdr:cNvPr id="2065" name="Drop Down 17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66677</xdr:rowOff>
    </xdr:from>
    <xdr:to>
      <xdr:col>7</xdr:col>
      <xdr:colOff>838200</xdr:colOff>
      <xdr:row>0</xdr:row>
      <xdr:rowOff>1581151</xdr:rowOff>
    </xdr:to>
    <xdr:pic>
      <xdr:nvPicPr>
        <xdr:cNvPr id="2" name="Grafik 1" descr="Bbg-Bil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677"/>
          <a:ext cx="5553075" cy="15144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W39"/>
  <sheetViews>
    <sheetView tabSelected="1" zoomScale="90" zoomScaleNormal="90" workbookViewId="0">
      <selection activeCell="D40" sqref="D40"/>
    </sheetView>
  </sheetViews>
  <sheetFormatPr baseColWidth="10" defaultRowHeight="15" x14ac:dyDescent="0.25"/>
  <cols>
    <col min="2" max="2" width="4.7109375" customWidth="1"/>
    <col min="8" max="8" width="12.7109375" customWidth="1"/>
    <col min="10" max="10" width="4.7109375" customWidth="1"/>
    <col min="12" max="12" width="11.42578125" style="12"/>
    <col min="13" max="13" width="8.7109375" style="12" customWidth="1"/>
    <col min="14" max="16" width="8.7109375" customWidth="1"/>
    <col min="18" max="18" width="0" hidden="1" customWidth="1"/>
    <col min="19" max="19" width="16.42578125" hidden="1" customWidth="1"/>
    <col min="20" max="20" width="0" style="44" hidden="1" customWidth="1"/>
    <col min="21" max="24" width="0" hidden="1" customWidth="1"/>
  </cols>
  <sheetData>
    <row r="1" spans="1:23" ht="15.75" thickBot="1" x14ac:dyDescent="0.3">
      <c r="A1" s="10"/>
      <c r="B1" s="10"/>
      <c r="C1" s="10" t="s">
        <v>99</v>
      </c>
      <c r="D1" s="10"/>
      <c r="E1" s="10"/>
      <c r="F1" s="10"/>
      <c r="G1" s="10"/>
      <c r="H1" s="10"/>
      <c r="I1" s="10"/>
      <c r="J1" s="10"/>
      <c r="K1" s="10"/>
      <c r="L1" s="56"/>
      <c r="M1" s="56"/>
      <c r="N1" s="10"/>
      <c r="O1" s="10"/>
      <c r="P1" s="10"/>
      <c r="Q1" s="10"/>
    </row>
    <row r="2" spans="1:23" ht="18" x14ac:dyDescent="0.25">
      <c r="A2" s="10"/>
      <c r="B2" s="113" t="s">
        <v>100</v>
      </c>
      <c r="C2" s="396" t="s">
        <v>54</v>
      </c>
      <c r="D2" s="397"/>
      <c r="E2" s="398"/>
      <c r="F2" s="10"/>
      <c r="G2" s="113" t="s">
        <v>106</v>
      </c>
      <c r="H2" s="115">
        <f ca="1" xml:space="preserve"> TODAY()</f>
        <v>44343</v>
      </c>
      <c r="I2" s="27" t="s">
        <v>94</v>
      </c>
      <c r="J2" s="30"/>
      <c r="K2" s="10"/>
      <c r="L2" s="56"/>
      <c r="M2" s="56"/>
      <c r="N2" s="10"/>
      <c r="O2" s="10"/>
      <c r="P2" s="10"/>
      <c r="Q2" s="10"/>
    </row>
    <row r="3" spans="1:23" x14ac:dyDescent="0.25">
      <c r="A3" s="10"/>
      <c r="B3" s="113" t="s">
        <v>101</v>
      </c>
      <c r="C3" s="399" t="s">
        <v>54</v>
      </c>
      <c r="D3" s="400"/>
      <c r="E3" s="401"/>
      <c r="F3" s="10"/>
      <c r="G3" s="113" t="s">
        <v>108</v>
      </c>
      <c r="H3" s="2"/>
      <c r="I3" s="10"/>
      <c r="J3" s="10"/>
      <c r="K3" s="10"/>
      <c r="L3" s="56"/>
      <c r="M3" s="56"/>
      <c r="N3" s="10"/>
      <c r="O3" s="10"/>
      <c r="P3" s="10"/>
      <c r="Q3" s="10"/>
    </row>
    <row r="4" spans="1:23" x14ac:dyDescent="0.25">
      <c r="A4" s="10"/>
      <c r="B4" s="113" t="s">
        <v>102</v>
      </c>
      <c r="C4" s="399" t="s">
        <v>261</v>
      </c>
      <c r="D4" s="400"/>
      <c r="E4" s="401"/>
      <c r="F4" s="10"/>
      <c r="G4" s="113" t="s">
        <v>107</v>
      </c>
      <c r="H4" s="116">
        <v>10021</v>
      </c>
      <c r="I4" s="10"/>
      <c r="J4" s="10"/>
      <c r="K4" s="121" t="s">
        <v>114</v>
      </c>
      <c r="L4" s="56"/>
      <c r="M4" s="56"/>
      <c r="N4" s="10"/>
      <c r="O4" s="10"/>
      <c r="P4" s="10"/>
      <c r="Q4" s="10"/>
    </row>
    <row r="5" spans="1:23" x14ac:dyDescent="0.25">
      <c r="A5" s="10"/>
      <c r="B5" s="113" t="s">
        <v>103</v>
      </c>
      <c r="C5" s="399" t="s">
        <v>54</v>
      </c>
      <c r="D5" s="400"/>
      <c r="E5" s="401"/>
      <c r="F5" s="10"/>
      <c r="G5" s="113" t="s">
        <v>109</v>
      </c>
      <c r="H5" s="116" t="s">
        <v>54</v>
      </c>
      <c r="I5" s="10"/>
      <c r="J5" s="10"/>
      <c r="K5" s="10"/>
      <c r="L5" s="56"/>
      <c r="M5" s="56"/>
      <c r="N5" s="10"/>
      <c r="O5" s="10"/>
      <c r="P5" s="10"/>
      <c r="Q5" s="10"/>
    </row>
    <row r="6" spans="1:23" ht="15.75" thickBot="1" x14ac:dyDescent="0.3">
      <c r="A6" s="10"/>
      <c r="B6" s="113" t="s">
        <v>104</v>
      </c>
      <c r="C6" s="114" t="s">
        <v>54</v>
      </c>
      <c r="D6" s="402" t="s">
        <v>177</v>
      </c>
      <c r="E6" s="403"/>
      <c r="F6" s="10"/>
      <c r="G6" s="10"/>
      <c r="H6" s="10"/>
      <c r="I6" s="10"/>
      <c r="J6" s="10"/>
      <c r="K6" s="96" t="s">
        <v>83</v>
      </c>
      <c r="L6" s="56"/>
      <c r="M6" s="56"/>
      <c r="N6" s="10"/>
      <c r="O6" s="10"/>
      <c r="P6" s="10"/>
      <c r="Q6" s="10"/>
    </row>
    <row r="7" spans="1:23" ht="15.75" thickBot="1" x14ac:dyDescent="0.3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56"/>
      <c r="M7" s="56"/>
      <c r="N7" s="56"/>
      <c r="O7" s="404" t="s">
        <v>40</v>
      </c>
      <c r="P7" s="404"/>
      <c r="Q7" s="10"/>
      <c r="R7" s="108"/>
      <c r="S7" s="108"/>
      <c r="T7" s="109"/>
      <c r="U7" s="108"/>
      <c r="V7" s="108"/>
      <c r="W7" s="108"/>
    </row>
    <row r="8" spans="1:23" ht="18.75" thickBot="1" x14ac:dyDescent="0.3">
      <c r="A8" s="10"/>
      <c r="B8" s="10"/>
      <c r="C8" s="32" t="s">
        <v>0</v>
      </c>
      <c r="D8" s="1">
        <v>1</v>
      </c>
      <c r="E8" s="10"/>
      <c r="F8" s="10"/>
      <c r="G8" s="10"/>
      <c r="H8" s="10"/>
      <c r="I8" s="10"/>
      <c r="J8" s="10"/>
      <c r="K8" s="368"/>
      <c r="L8" s="56"/>
      <c r="M8" s="404" t="s">
        <v>42</v>
      </c>
      <c r="N8" s="404"/>
      <c r="O8" s="404" t="s">
        <v>41</v>
      </c>
      <c r="P8" s="404"/>
      <c r="Q8" s="10"/>
      <c r="R8" s="108"/>
      <c r="S8" s="108"/>
      <c r="T8" s="109"/>
      <c r="U8" s="108"/>
      <c r="V8" s="108"/>
      <c r="W8" s="108"/>
    </row>
    <row r="9" spans="1:23" ht="15.75" thickBot="1" x14ac:dyDescent="0.3">
      <c r="A9" s="10"/>
      <c r="B9" s="10"/>
      <c r="C9" s="10"/>
      <c r="D9" s="10"/>
      <c r="E9" s="10"/>
      <c r="F9" s="10"/>
      <c r="G9" s="10"/>
      <c r="H9" s="10"/>
      <c r="I9" s="10"/>
      <c r="J9" s="342" t="s">
        <v>28</v>
      </c>
      <c r="K9" s="340" t="s">
        <v>244</v>
      </c>
      <c r="L9" s="56"/>
      <c r="M9" s="405"/>
      <c r="N9" s="406"/>
      <c r="O9" s="418"/>
      <c r="P9" s="419"/>
      <c r="Q9" s="10"/>
      <c r="R9" s="108"/>
      <c r="S9" s="108"/>
      <c r="T9" s="109"/>
      <c r="U9" s="108"/>
      <c r="V9" s="108"/>
      <c r="W9" s="108"/>
    </row>
    <row r="10" spans="1:23" ht="18" x14ac:dyDescent="0.25">
      <c r="A10" s="10"/>
      <c r="B10" s="10"/>
      <c r="C10" s="30" t="s">
        <v>14</v>
      </c>
      <c r="F10" s="27" t="s">
        <v>16</v>
      </c>
      <c r="G10" s="10"/>
      <c r="H10" s="10"/>
      <c r="I10" s="10"/>
      <c r="J10" s="341">
        <f>Rechner!F53</f>
        <v>1</v>
      </c>
      <c r="K10" s="10"/>
      <c r="L10" s="56"/>
      <c r="M10" s="56"/>
      <c r="N10" s="10"/>
      <c r="O10" s="10"/>
      <c r="P10" s="10"/>
      <c r="Q10" s="10"/>
      <c r="R10" s="108"/>
      <c r="S10" s="108"/>
      <c r="T10" s="109" t="s">
        <v>86</v>
      </c>
      <c r="U10" s="108" t="s">
        <v>89</v>
      </c>
      <c r="V10" s="108" t="s">
        <v>88</v>
      </c>
      <c r="W10" s="108"/>
    </row>
    <row r="11" spans="1:23" x14ac:dyDescent="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96" t="s">
        <v>29</v>
      </c>
      <c r="L11" s="56"/>
      <c r="M11" s="56"/>
      <c r="N11" s="10"/>
      <c r="O11" s="10"/>
      <c r="P11" s="10"/>
      <c r="Q11" s="10"/>
      <c r="R11" s="108"/>
      <c r="S11" s="108" t="s">
        <v>90</v>
      </c>
      <c r="T11" s="109">
        <f>Rechner!Y9</f>
        <v>9.06</v>
      </c>
      <c r="U11" s="109">
        <f>Rechner!AB9</f>
        <v>8</v>
      </c>
      <c r="V11" s="109">
        <f>Rechner!AG9</f>
        <v>8</v>
      </c>
      <c r="W11" s="108"/>
    </row>
    <row r="12" spans="1:23" ht="18" x14ac:dyDescent="0.25">
      <c r="A12" s="10"/>
      <c r="B12" s="10"/>
      <c r="C12" s="27" t="s">
        <v>19</v>
      </c>
      <c r="E12" s="10"/>
      <c r="F12" s="30" t="s">
        <v>39</v>
      </c>
      <c r="H12" s="10"/>
      <c r="I12" s="117"/>
      <c r="J12" s="117"/>
      <c r="K12" s="117"/>
      <c r="L12" s="56"/>
      <c r="M12" s="56"/>
      <c r="N12" s="10"/>
      <c r="O12" s="10"/>
      <c r="P12" s="10"/>
      <c r="Q12" s="10"/>
      <c r="R12" s="108"/>
      <c r="S12" s="108" t="s">
        <v>91</v>
      </c>
      <c r="T12" s="109">
        <f>Rechner!Y10</f>
        <v>0</v>
      </c>
      <c r="U12" s="109">
        <f>Rechner!AB10</f>
        <v>0</v>
      </c>
      <c r="V12" s="109">
        <f>Rechner!AG10</f>
        <v>0</v>
      </c>
      <c r="W12" s="108"/>
    </row>
    <row r="13" spans="1:23" x14ac:dyDescent="0.25">
      <c r="A13" s="10"/>
      <c r="B13" s="10"/>
      <c r="C13" s="56"/>
      <c r="D13" s="394" t="str">
        <f>IF(Rechner!N80=32,"Freie Papierwahl"," ")</f>
        <v xml:space="preserve"> </v>
      </c>
      <c r="E13" s="395"/>
      <c r="F13" s="250" t="str">
        <f>IF(Rechner!N80=32,"Grammatur"," ")</f>
        <v xml:space="preserve"> </v>
      </c>
      <c r="G13" s="249" t="str">
        <f>IF(Rechner!N80=32,"g/qm"," ")</f>
        <v xml:space="preserve"> </v>
      </c>
      <c r="H13" s="250" t="str">
        <f>IF(Rechner!N80=32,"Preis"," ")</f>
        <v xml:space="preserve"> </v>
      </c>
      <c r="I13" s="249" t="str">
        <f>IF(Rechner!N80=32,"€/100Kg"," ")</f>
        <v xml:space="preserve"> </v>
      </c>
      <c r="J13" s="249"/>
      <c r="K13" s="96" t="s">
        <v>30</v>
      </c>
      <c r="L13" s="56"/>
      <c r="M13" s="56"/>
      <c r="N13" s="10"/>
      <c r="O13" s="10"/>
      <c r="P13" s="10"/>
      <c r="Q13" s="10"/>
      <c r="R13" s="108"/>
      <c r="S13" s="108" t="s">
        <v>92</v>
      </c>
      <c r="T13" s="109">
        <f>Rechner!Y11</f>
        <v>3.0000000000000001E-3</v>
      </c>
      <c r="U13" s="109">
        <f>Rechner!AB11</f>
        <v>0</v>
      </c>
      <c r="V13" s="109">
        <f>Rechner!AG11</f>
        <v>0</v>
      </c>
      <c r="W13" s="108"/>
    </row>
    <row r="14" spans="1:23" x14ac:dyDescent="0.25">
      <c r="A14" s="10"/>
      <c r="B14" s="10"/>
      <c r="C14" s="10"/>
      <c r="D14" s="72" t="str">
        <f>Rechner!P80</f>
        <v xml:space="preserve"> </v>
      </c>
      <c r="E14" s="10"/>
      <c r="F14" s="248"/>
      <c r="G14" s="10"/>
      <c r="H14" s="10"/>
      <c r="I14" s="10"/>
      <c r="J14" s="10"/>
      <c r="K14" s="10"/>
      <c r="L14" s="56"/>
      <c r="M14" s="56"/>
      <c r="N14" s="10"/>
      <c r="O14" s="10"/>
      <c r="P14" s="10"/>
      <c r="Q14" s="10"/>
      <c r="R14" s="108"/>
      <c r="S14" s="108" t="s">
        <v>93</v>
      </c>
      <c r="T14" s="109">
        <f>Rechner!Y12</f>
        <v>2.8059999999999996</v>
      </c>
      <c r="U14" s="109">
        <f>Rechner!AB12</f>
        <v>0</v>
      </c>
      <c r="V14" s="109">
        <f>Rechner!AG12</f>
        <v>0</v>
      </c>
      <c r="W14" s="108"/>
    </row>
    <row r="15" spans="1:23" x14ac:dyDescent="0.2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56"/>
      <c r="M15" s="56"/>
      <c r="N15" s="10"/>
      <c r="O15" s="10"/>
      <c r="P15" s="10"/>
      <c r="Q15" s="10"/>
      <c r="R15" s="108"/>
      <c r="S15" s="108" t="s">
        <v>19</v>
      </c>
      <c r="T15" s="109">
        <f>Rechner!Y14</f>
        <v>4.9500000000000002E-2</v>
      </c>
      <c r="U15" s="109">
        <f>Rechner!AB14</f>
        <v>0</v>
      </c>
      <c r="V15" s="109">
        <f>Rechner!AG14</f>
        <v>0</v>
      </c>
      <c r="W15" s="108"/>
    </row>
    <row r="16" spans="1:23" x14ac:dyDescent="0.25">
      <c r="A16" s="10"/>
      <c r="B16" s="10"/>
      <c r="C16" s="10"/>
      <c r="D16" s="10"/>
      <c r="E16" s="10"/>
      <c r="F16" s="10"/>
      <c r="G16" s="305"/>
      <c r="H16" s="305"/>
      <c r="I16" s="10"/>
      <c r="J16" s="10"/>
      <c r="K16" s="10"/>
      <c r="L16" s="56"/>
      <c r="M16" s="56"/>
      <c r="N16" s="10"/>
      <c r="O16" s="10"/>
      <c r="P16" s="10"/>
      <c r="Q16" s="10"/>
      <c r="R16" s="108"/>
      <c r="S16" s="108" t="s">
        <v>30</v>
      </c>
      <c r="T16" s="109">
        <f>Rechner!Y15</f>
        <v>0</v>
      </c>
      <c r="U16" s="109">
        <f>Rechner!AB15</f>
        <v>0</v>
      </c>
      <c r="V16" s="109">
        <f>Rechner!AG15</f>
        <v>0</v>
      </c>
      <c r="W16" s="108"/>
    </row>
    <row r="17" spans="1:23" ht="15" customHeight="1" thickBot="1" x14ac:dyDescent="0.3">
      <c r="A17" s="10"/>
      <c r="B17" s="10"/>
      <c r="C17" s="241" t="s">
        <v>246</v>
      </c>
      <c r="D17" s="10"/>
      <c r="E17" s="242" t="s">
        <v>157</v>
      </c>
      <c r="F17" s="241" t="s">
        <v>150</v>
      </c>
      <c r="G17" s="10"/>
      <c r="H17" s="10"/>
      <c r="I17" s="10"/>
      <c r="J17" s="10"/>
      <c r="K17" s="10"/>
      <c r="L17" s="56"/>
      <c r="M17" s="56"/>
      <c r="N17" s="10"/>
      <c r="O17" s="10"/>
      <c r="P17" s="10"/>
      <c r="Q17" s="10"/>
      <c r="R17" s="108"/>
      <c r="S17" s="108" t="s">
        <v>29</v>
      </c>
      <c r="T17" s="109">
        <f>Rechner!Y16</f>
        <v>0</v>
      </c>
      <c r="U17" s="109">
        <f>Rechner!AB16</f>
        <v>0</v>
      </c>
      <c r="V17" s="109">
        <f>Rechner!AG16</f>
        <v>0</v>
      </c>
      <c r="W17" s="108"/>
    </row>
    <row r="18" spans="1:23" x14ac:dyDescent="0.25">
      <c r="A18" s="10"/>
      <c r="B18" s="348"/>
      <c r="C18" s="174"/>
      <c r="D18" s="174"/>
      <c r="E18" s="345">
        <f>F18/(1+Rechner!B51)</f>
        <v>8.4033613445378155</v>
      </c>
      <c r="F18" s="358">
        <f>Rechner!S117</f>
        <v>10</v>
      </c>
      <c r="G18" s="56"/>
      <c r="H18" s="50" t="s">
        <v>181</v>
      </c>
      <c r="I18" s="51"/>
      <c r="J18" s="336"/>
      <c r="K18" s="10"/>
      <c r="L18" s="56"/>
      <c r="M18" s="410" t="s">
        <v>201</v>
      </c>
      <c r="N18" s="411"/>
      <c r="O18" s="411" t="s">
        <v>202</v>
      </c>
      <c r="P18" s="420"/>
      <c r="Q18" s="10"/>
      <c r="R18" s="108"/>
      <c r="S18" s="283" t="s">
        <v>180</v>
      </c>
      <c r="T18" s="109">
        <f>E24</f>
        <v>0</v>
      </c>
      <c r="U18" s="109">
        <f>E24</f>
        <v>0</v>
      </c>
      <c r="V18" s="109">
        <f>E24</f>
        <v>0</v>
      </c>
      <c r="W18" s="108"/>
    </row>
    <row r="19" spans="1:23" ht="15.75" customHeight="1" x14ac:dyDescent="0.5">
      <c r="A19" s="303" t="s">
        <v>247</v>
      </c>
      <c r="B19" s="349"/>
      <c r="C19" s="336"/>
      <c r="D19" s="350" t="s">
        <v>147</v>
      </c>
      <c r="E19" s="281"/>
      <c r="F19" s="359">
        <f>E19*(1+Rechner!B51)</f>
        <v>0</v>
      </c>
      <c r="G19" s="56"/>
      <c r="H19" s="390">
        <f>Rechner!Y22*Rechner!Y33*Rechner!Y34*Rechner!Y35</f>
        <v>24.2</v>
      </c>
      <c r="I19" s="391"/>
      <c r="J19" s="343"/>
      <c r="K19" s="10"/>
      <c r="L19" s="56"/>
      <c r="M19" s="412">
        <f>Rechner!AB22*Rechner!AB33*Rechner!Y34*Rechner!Y35</f>
        <v>0</v>
      </c>
      <c r="N19" s="413"/>
      <c r="O19" s="413">
        <f>Rechner!AG22*Rechner!AG33*Rechner!Y34*Rechner!Y35</f>
        <v>0</v>
      </c>
      <c r="P19" s="421"/>
      <c r="Q19" s="10"/>
      <c r="R19" s="108"/>
      <c r="S19" s="301" t="str">
        <f>Rechner!N147</f>
        <v xml:space="preserve"> </v>
      </c>
      <c r="T19" s="109">
        <f>E22</f>
        <v>0</v>
      </c>
      <c r="U19" s="109">
        <f>E22</f>
        <v>0</v>
      </c>
      <c r="V19" s="109">
        <f>E22</f>
        <v>0</v>
      </c>
      <c r="W19" s="108"/>
    </row>
    <row r="20" spans="1:23" ht="15.75" customHeight="1" thickBot="1" x14ac:dyDescent="0.55000000000000004">
      <c r="A20" s="10"/>
      <c r="B20" s="353"/>
      <c r="C20" s="386" t="s">
        <v>251</v>
      </c>
      <c r="D20" s="356" t="s">
        <v>179</v>
      </c>
      <c r="E20" s="352">
        <f>F20/(1+Rechner!B51)</f>
        <v>0</v>
      </c>
      <c r="F20" s="360">
        <f>Rechner!T117*Rechner!T119+B20*Rechner!T119</f>
        <v>0</v>
      </c>
      <c r="G20" s="56"/>
      <c r="H20" s="392"/>
      <c r="I20" s="393"/>
      <c r="J20" s="343"/>
      <c r="K20" s="10"/>
      <c r="L20" s="56"/>
      <c r="M20" s="414">
        <f>M19/(1+Rechner!B51)</f>
        <v>0</v>
      </c>
      <c r="N20" s="415"/>
      <c r="O20" s="415">
        <f>O19/(1+Rechner!B51)</f>
        <v>0</v>
      </c>
      <c r="P20" s="430"/>
      <c r="Q20" s="10"/>
      <c r="R20" s="108"/>
      <c r="S20" s="301" t="str">
        <f>Rechner!N149</f>
        <v xml:space="preserve"> </v>
      </c>
      <c r="T20" s="109">
        <f>E23</f>
        <v>0</v>
      </c>
      <c r="U20" s="109">
        <f>E23</f>
        <v>0</v>
      </c>
      <c r="V20" s="109">
        <f>E23</f>
        <v>0</v>
      </c>
      <c r="W20" s="108"/>
    </row>
    <row r="21" spans="1:23" ht="15.75" customHeight="1" thickBot="1" x14ac:dyDescent="0.55000000000000004">
      <c r="A21" s="10"/>
      <c r="B21" s="262"/>
      <c r="C21" s="336"/>
      <c r="D21" s="371"/>
      <c r="E21" s="373"/>
      <c r="F21" s="374"/>
      <c r="G21" s="56"/>
      <c r="H21" s="52"/>
      <c r="I21" s="53"/>
      <c r="J21" s="343"/>
      <c r="K21" s="10"/>
      <c r="L21" s="56"/>
      <c r="M21" s="372"/>
      <c r="N21" s="372"/>
      <c r="O21" s="372"/>
      <c r="P21" s="372"/>
      <c r="Q21" s="10"/>
      <c r="R21" s="108"/>
      <c r="S21" s="301"/>
      <c r="T21" s="109"/>
      <c r="U21" s="109"/>
      <c r="V21" s="109"/>
      <c r="W21" s="108"/>
    </row>
    <row r="22" spans="1:23" ht="15.75" thickBot="1" x14ac:dyDescent="0.3">
      <c r="A22" s="407" t="s">
        <v>248</v>
      </c>
      <c r="B22" s="348"/>
      <c r="C22" s="174"/>
      <c r="D22" s="174"/>
      <c r="E22" s="354">
        <f>F22/(1+Rechner!B51)</f>
        <v>0</v>
      </c>
      <c r="F22" s="361">
        <f>Rechner!S147</f>
        <v>0</v>
      </c>
      <c r="G22" s="10"/>
      <c r="H22" s="54" t="s">
        <v>15</v>
      </c>
      <c r="I22" s="55">
        <f>H19/(1+Rechner!B51)</f>
        <v>20.336134453781511</v>
      </c>
      <c r="J22" s="336"/>
      <c r="K22" s="10"/>
      <c r="L22" s="56"/>
      <c r="M22" s="56"/>
      <c r="N22" s="10"/>
      <c r="O22" s="10"/>
      <c r="P22" s="10"/>
      <c r="Q22" s="10"/>
      <c r="R22" s="108"/>
      <c r="S22" s="108">
        <f>C29</f>
        <v>0</v>
      </c>
      <c r="T22" s="109">
        <f>F29</f>
        <v>0</v>
      </c>
      <c r="U22" s="109">
        <f>N29</f>
        <v>0</v>
      </c>
      <c r="V22" s="109">
        <f t="shared" ref="V22:V23" si="0">P29</f>
        <v>0</v>
      </c>
      <c r="W22" s="108"/>
    </row>
    <row r="23" spans="1:23" ht="15" customHeight="1" thickBot="1" x14ac:dyDescent="0.3">
      <c r="A23" s="407"/>
      <c r="B23" s="353"/>
      <c r="C23" s="140"/>
      <c r="D23" s="140"/>
      <c r="E23" s="355">
        <f>F23/(1+Rechner!B51)</f>
        <v>0</v>
      </c>
      <c r="F23" s="362">
        <f>Rechner!S149*B23</f>
        <v>0</v>
      </c>
      <c r="G23" s="10"/>
      <c r="H23" s="10"/>
      <c r="I23" s="10"/>
      <c r="J23" s="344"/>
      <c r="K23" s="10"/>
      <c r="L23" s="56"/>
      <c r="M23" s="56"/>
      <c r="N23" s="10"/>
      <c r="O23" s="10"/>
      <c r="P23" s="10"/>
      <c r="Q23" s="10"/>
      <c r="R23" s="108"/>
      <c r="S23" s="108" t="str">
        <f>C30</f>
        <v xml:space="preserve"> </v>
      </c>
      <c r="T23" s="109">
        <f>F30</f>
        <v>0</v>
      </c>
      <c r="U23" s="109">
        <f>N30</f>
        <v>0</v>
      </c>
      <c r="V23" s="109">
        <f t="shared" si="0"/>
        <v>0</v>
      </c>
      <c r="W23" s="108"/>
    </row>
    <row r="24" spans="1:23" ht="15" customHeight="1" thickBot="1" x14ac:dyDescent="0.3">
      <c r="A24" s="10"/>
      <c r="B24" s="347" t="s">
        <v>178</v>
      </c>
      <c r="C24" s="10"/>
      <c r="D24" s="56" t="s">
        <v>9</v>
      </c>
      <c r="E24" s="346">
        <f>F24/(1+Rechner!B51)</f>
        <v>0</v>
      </c>
      <c r="F24" s="363">
        <f>SUM(F22:F23)</f>
        <v>0</v>
      </c>
      <c r="G24" s="376"/>
      <c r="H24" s="375" t="s">
        <v>9</v>
      </c>
      <c r="I24" s="351"/>
      <c r="J24" s="351"/>
      <c r="K24" s="351"/>
      <c r="L24" s="384"/>
      <c r="M24" s="384"/>
      <c r="N24" s="385" t="s">
        <v>9</v>
      </c>
      <c r="O24" s="384"/>
      <c r="P24" s="375" t="s">
        <v>9</v>
      </c>
      <c r="Q24" s="10"/>
      <c r="R24" s="108"/>
      <c r="S24" s="108" t="str">
        <f>Rechner!X147</f>
        <v xml:space="preserve"> </v>
      </c>
      <c r="T24" s="109">
        <f>F31</f>
        <v>0</v>
      </c>
      <c r="U24" s="109">
        <f>M32</f>
        <v>0</v>
      </c>
      <c r="V24" s="109">
        <f>O32</f>
        <v>0</v>
      </c>
      <c r="W24" s="108"/>
    </row>
    <row r="25" spans="1:23" ht="15" customHeight="1" thickBot="1" x14ac:dyDescent="0.3">
      <c r="A25" s="10"/>
      <c r="B25" s="10"/>
      <c r="C25" s="282"/>
      <c r="D25" s="56"/>
      <c r="E25" s="10"/>
      <c r="F25" s="10"/>
      <c r="G25" s="56"/>
      <c r="H25" s="366">
        <f>F24</f>
        <v>0</v>
      </c>
      <c r="I25" s="10"/>
      <c r="J25" s="10"/>
      <c r="K25" s="10"/>
      <c r="L25" s="56"/>
      <c r="M25" s="56"/>
      <c r="N25" s="383">
        <f>H25</f>
        <v>0</v>
      </c>
      <c r="O25" s="56"/>
      <c r="P25" s="366">
        <f>H25</f>
        <v>0</v>
      </c>
      <c r="Q25" s="10"/>
      <c r="R25" s="108"/>
      <c r="S25" s="108"/>
      <c r="T25" s="109"/>
      <c r="U25" s="108"/>
      <c r="V25" s="108"/>
      <c r="W25" s="108"/>
    </row>
    <row r="26" spans="1:23" x14ac:dyDescent="0.2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56"/>
      <c r="M26" s="56"/>
      <c r="N26" s="10"/>
      <c r="O26" s="10"/>
      <c r="P26" s="10"/>
      <c r="Q26" s="10"/>
      <c r="R26" s="108"/>
      <c r="S26" s="108" t="s">
        <v>9</v>
      </c>
      <c r="T26" s="109">
        <f>SUM(T11:T24)</f>
        <v>11.9185</v>
      </c>
      <c r="U26" s="109">
        <f>SUM(U11:U24)</f>
        <v>8</v>
      </c>
      <c r="V26" s="109">
        <f>SUM(V11:V24)</f>
        <v>8</v>
      </c>
      <c r="W26" s="108"/>
    </row>
    <row r="27" spans="1:23" x14ac:dyDescent="0.25">
      <c r="A27" s="10"/>
      <c r="B27" s="10"/>
      <c r="C27" s="10"/>
      <c r="D27" s="10"/>
      <c r="E27" s="241"/>
      <c r="F27" s="242"/>
      <c r="G27" s="241"/>
      <c r="H27" s="10"/>
      <c r="I27" s="10"/>
      <c r="J27" s="10"/>
      <c r="K27" s="10"/>
      <c r="L27" s="56"/>
      <c r="M27" s="56"/>
      <c r="N27" s="241"/>
      <c r="O27" s="241"/>
      <c r="P27" s="241"/>
      <c r="Q27" s="10"/>
      <c r="R27" s="108"/>
      <c r="S27" s="108"/>
      <c r="T27" s="109"/>
      <c r="U27" s="109"/>
      <c r="V27" s="109"/>
      <c r="W27" s="108"/>
    </row>
    <row r="28" spans="1:23" ht="15.75" customHeight="1" x14ac:dyDescent="0.25">
      <c r="A28" s="10"/>
      <c r="B28" s="8"/>
      <c r="C28" s="10"/>
      <c r="D28" s="10"/>
      <c r="E28" s="302" t="s">
        <v>197</v>
      </c>
      <c r="F28" s="10"/>
      <c r="G28" s="241" t="s">
        <v>150</v>
      </c>
      <c r="H28" s="10"/>
      <c r="I28" s="10"/>
      <c r="J28" s="10"/>
      <c r="K28" s="10"/>
      <c r="L28" s="56"/>
      <c r="M28" s="404" t="str">
        <f>M8</f>
        <v>Auflage 2</v>
      </c>
      <c r="N28" s="404"/>
      <c r="O28" s="431" t="str">
        <f>O8</f>
        <v>Auflage 3</v>
      </c>
      <c r="P28" s="431"/>
      <c r="Q28" s="10"/>
      <c r="R28" s="108"/>
      <c r="S28" s="108"/>
      <c r="T28" s="109"/>
      <c r="U28" s="108"/>
      <c r="V28" s="108"/>
      <c r="W28" s="108"/>
    </row>
    <row r="29" spans="1:23" ht="15.75" customHeight="1" x14ac:dyDescent="0.25">
      <c r="A29" s="56" t="s">
        <v>123</v>
      </c>
      <c r="B29" s="300"/>
      <c r="C29" s="416"/>
      <c r="D29" s="417"/>
      <c r="E29" s="304"/>
      <c r="F29" s="243">
        <f>B29*E29</f>
        <v>0</v>
      </c>
      <c r="G29" s="364">
        <f>F29*(1+Rechner!B51)</f>
        <v>0</v>
      </c>
      <c r="H29" s="124"/>
      <c r="I29" s="124"/>
      <c r="J29" s="124"/>
      <c r="K29" s="124"/>
      <c r="L29" s="125"/>
      <c r="M29" s="357">
        <f t="shared" ref="M29:M30" si="1">F29</f>
        <v>0</v>
      </c>
      <c r="N29" s="367">
        <f>M29*(1+Rechner!B51)</f>
        <v>0</v>
      </c>
      <c r="O29" s="280">
        <f t="shared" ref="O29:O30" si="2">M29</f>
        <v>0</v>
      </c>
      <c r="P29" s="367">
        <f>O29*(1+Rechner!B51)</f>
        <v>0</v>
      </c>
      <c r="Q29" s="10"/>
      <c r="R29" s="108"/>
      <c r="S29" s="108"/>
      <c r="T29" s="109"/>
      <c r="U29" s="108"/>
      <c r="V29" s="108"/>
      <c r="W29" s="108"/>
    </row>
    <row r="30" spans="1:23" ht="15.75" customHeight="1" thickBot="1" x14ac:dyDescent="0.3">
      <c r="A30" s="56" t="s">
        <v>123</v>
      </c>
      <c r="B30" s="300"/>
      <c r="C30" s="416" t="s">
        <v>54</v>
      </c>
      <c r="D30" s="417"/>
      <c r="E30" s="304"/>
      <c r="F30" s="243">
        <f>B30*E30</f>
        <v>0</v>
      </c>
      <c r="G30" s="364">
        <f>F30*(1+Rechner!B51)</f>
        <v>0</v>
      </c>
      <c r="H30" s="307" t="s">
        <v>9</v>
      </c>
      <c r="I30" s="124"/>
      <c r="J30" s="124"/>
      <c r="K30" s="124"/>
      <c r="L30" s="125"/>
      <c r="M30" s="357">
        <f t="shared" si="1"/>
        <v>0</v>
      </c>
      <c r="N30" s="367">
        <f>M30*(1+Rechner!B51)</f>
        <v>0</v>
      </c>
      <c r="O30" s="280">
        <f t="shared" si="2"/>
        <v>0</v>
      </c>
      <c r="P30" s="367">
        <f>O30*(1+Rechner!B51)</f>
        <v>0</v>
      </c>
      <c r="Q30" s="10"/>
      <c r="R30" s="108"/>
      <c r="S30" s="108"/>
      <c r="T30" s="109"/>
      <c r="U30" s="108"/>
      <c r="V30" s="108"/>
      <c r="W30" s="108"/>
    </row>
    <row r="31" spans="1:23" ht="15.75" thickBot="1" x14ac:dyDescent="0.3">
      <c r="A31" s="10"/>
      <c r="B31" s="303">
        <f>Rechner!Z147</f>
        <v>0</v>
      </c>
      <c r="F31" s="55">
        <f>Rechner!Z147*Rechner!AC147</f>
        <v>0</v>
      </c>
      <c r="G31" s="365">
        <f>F31*(1+Rechner!B51)</f>
        <v>0</v>
      </c>
      <c r="H31" s="366">
        <f>G29+G30+G31</f>
        <v>0</v>
      </c>
      <c r="I31" s="124"/>
      <c r="J31" s="124"/>
      <c r="K31" s="124"/>
      <c r="L31" s="125"/>
      <c r="M31" s="369">
        <f>Rechner!AA147*Rechner!AC147</f>
        <v>0</v>
      </c>
      <c r="N31" s="367">
        <f>M31*(1+Rechner!B51)</f>
        <v>0</v>
      </c>
      <c r="O31" s="370">
        <f>Rechner!AB147*Rechner!AC147</f>
        <v>0</v>
      </c>
      <c r="P31" s="367">
        <f>O31*(1+Rechner!B51)</f>
        <v>0</v>
      </c>
      <c r="Q31" s="10"/>
    </row>
    <row r="32" spans="1:23" ht="15.75" thickBot="1" x14ac:dyDescent="0.3">
      <c r="A32" s="10"/>
      <c r="B32" s="282" t="s">
        <v>178</v>
      </c>
      <c r="C32" s="282"/>
      <c r="D32" s="10"/>
      <c r="E32" s="10"/>
      <c r="F32" s="10"/>
      <c r="G32" s="10"/>
      <c r="H32" s="10"/>
      <c r="I32" s="10"/>
      <c r="J32" s="10"/>
      <c r="K32" s="10"/>
      <c r="L32" s="56"/>
      <c r="M32" s="408">
        <f>SUM(N29:N31)</f>
        <v>0</v>
      </c>
      <c r="N32" s="409"/>
      <c r="O32" s="408">
        <f>SUM(P29:P31)</f>
        <v>0</v>
      </c>
      <c r="P32" s="409"/>
      <c r="Q32" s="10"/>
    </row>
    <row r="33" spans="1:17" ht="15.75" thickBot="1" x14ac:dyDescent="0.3">
      <c r="A33" s="10"/>
      <c r="B33" s="10"/>
      <c r="C33" s="10"/>
      <c r="D33" s="10"/>
      <c r="E33" s="10"/>
      <c r="F33" s="10"/>
      <c r="G33" s="10"/>
      <c r="H33" s="50" t="s">
        <v>198</v>
      </c>
      <c r="I33" s="51"/>
      <c r="J33" s="336"/>
      <c r="K33" s="10"/>
      <c r="L33" s="56"/>
      <c r="M33" s="56"/>
      <c r="N33" s="10"/>
      <c r="O33" s="10"/>
      <c r="P33" s="10"/>
      <c r="Q33" s="10"/>
    </row>
    <row r="34" spans="1:17" ht="20.100000000000001" customHeight="1" x14ac:dyDescent="0.5">
      <c r="A34" s="10"/>
      <c r="B34" s="10"/>
      <c r="C34" s="10"/>
      <c r="D34" s="10"/>
      <c r="E34" s="10"/>
      <c r="F34" s="10"/>
      <c r="G34" s="10"/>
      <c r="H34" s="390">
        <f>Rechner!Y31*Rechner!Y33*Rechner!Y34*Rechner!Y35</f>
        <v>24.199999999999996</v>
      </c>
      <c r="I34" s="391"/>
      <c r="J34" s="343"/>
      <c r="K34" s="10"/>
      <c r="L34" s="56"/>
      <c r="M34" s="410" t="s">
        <v>199</v>
      </c>
      <c r="N34" s="411"/>
      <c r="O34" s="411" t="s">
        <v>200</v>
      </c>
      <c r="P34" s="420"/>
      <c r="Q34" s="10"/>
    </row>
    <row r="35" spans="1:17" ht="20.100000000000001" customHeight="1" thickBot="1" x14ac:dyDescent="0.55000000000000004">
      <c r="A35" s="10"/>
      <c r="B35" s="10"/>
      <c r="C35" s="10"/>
      <c r="D35" s="10"/>
      <c r="E35" s="10"/>
      <c r="F35" s="10"/>
      <c r="G35" s="10"/>
      <c r="H35" s="392"/>
      <c r="I35" s="393"/>
      <c r="J35" s="343"/>
      <c r="K35" s="10"/>
      <c r="L35" s="56"/>
      <c r="M35" s="422">
        <f>Rechner!AB31*Rechner!AB33*Rechner!Y34</f>
        <v>0</v>
      </c>
      <c r="N35" s="423"/>
      <c r="O35" s="424">
        <f>Rechner!AG31*Rechner!AG33*Rechner!Y34</f>
        <v>0</v>
      </c>
      <c r="P35" s="425"/>
      <c r="Q35" s="10"/>
    </row>
    <row r="36" spans="1:17" ht="15.75" thickBot="1" x14ac:dyDescent="0.3">
      <c r="A36" s="10"/>
      <c r="B36" s="10"/>
      <c r="C36" s="10"/>
      <c r="D36" s="10"/>
      <c r="E36" s="10"/>
      <c r="F36" s="10"/>
      <c r="G36" s="10"/>
      <c r="H36" s="52"/>
      <c r="I36" s="53"/>
      <c r="J36" s="336"/>
      <c r="K36" s="10"/>
      <c r="L36" s="56"/>
      <c r="M36" s="426">
        <f>M35/(1+Rechner!B51)</f>
        <v>0</v>
      </c>
      <c r="N36" s="427"/>
      <c r="O36" s="428">
        <f>O35/(1+Rechner!B51)</f>
        <v>0</v>
      </c>
      <c r="P36" s="429"/>
      <c r="Q36" s="10"/>
    </row>
    <row r="37" spans="1:17" x14ac:dyDescent="0.25">
      <c r="A37" s="10"/>
      <c r="B37" s="10"/>
      <c r="C37" s="10"/>
      <c r="D37" s="10"/>
      <c r="E37" s="10"/>
      <c r="F37" s="10"/>
      <c r="G37" s="10"/>
      <c r="H37" s="54" t="s">
        <v>15</v>
      </c>
      <c r="I37" s="55">
        <f>H34/(1+Rechner!B51)</f>
        <v>20.336134453781511</v>
      </c>
      <c r="J37" s="344"/>
      <c r="K37" s="10"/>
      <c r="L37" s="56"/>
      <c r="M37" s="56"/>
      <c r="N37" s="10"/>
      <c r="O37" s="10"/>
      <c r="P37" s="10"/>
      <c r="Q37" s="10"/>
    </row>
    <row r="38" spans="1:17" x14ac:dyDescent="0.2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x14ac:dyDescent="0.2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</sheetData>
  <mergeCells count="32">
    <mergeCell ref="M35:N35"/>
    <mergeCell ref="O35:P35"/>
    <mergeCell ref="M36:N36"/>
    <mergeCell ref="O36:P36"/>
    <mergeCell ref="O20:P20"/>
    <mergeCell ref="O28:P28"/>
    <mergeCell ref="O34:P34"/>
    <mergeCell ref="O32:P32"/>
    <mergeCell ref="M34:N34"/>
    <mergeCell ref="O7:P7"/>
    <mergeCell ref="O8:P8"/>
    <mergeCell ref="O9:P9"/>
    <mergeCell ref="O18:P18"/>
    <mergeCell ref="O19:P19"/>
    <mergeCell ref="M8:N8"/>
    <mergeCell ref="M9:N9"/>
    <mergeCell ref="A22:A23"/>
    <mergeCell ref="M28:N28"/>
    <mergeCell ref="M32:N32"/>
    <mergeCell ref="M18:N18"/>
    <mergeCell ref="M19:N19"/>
    <mergeCell ref="M20:N20"/>
    <mergeCell ref="H19:I20"/>
    <mergeCell ref="C29:D29"/>
    <mergeCell ref="C30:D30"/>
    <mergeCell ref="H34:I35"/>
    <mergeCell ref="D13:E13"/>
    <mergeCell ref="C2:E2"/>
    <mergeCell ref="C3:E3"/>
    <mergeCell ref="C4:E4"/>
    <mergeCell ref="C5:E5"/>
    <mergeCell ref="D6:E6"/>
  </mergeCells>
  <conditionalFormatting sqref="D13">
    <cfRule type="cellIs" dxfId="21" priority="27" operator="equal">
      <formula>" "</formula>
    </cfRule>
    <cfRule type="cellIs" dxfId="20" priority="28" operator="equal">
      <formula>2</formula>
    </cfRule>
    <cfRule type="cellIs" priority="29" operator="equal">
      <formula>" "</formula>
    </cfRule>
    <cfRule type="cellIs" dxfId="19" priority="30" operator="equal">
      <formula>" "</formula>
    </cfRule>
  </conditionalFormatting>
  <conditionalFormatting sqref="D13:E13">
    <cfRule type="cellIs" dxfId="18" priority="25" operator="equal">
      <formula>" "</formula>
    </cfRule>
    <cfRule type="cellIs" dxfId="17" priority="26" operator="equal">
      <formula>" "</formula>
    </cfRule>
  </conditionalFormatting>
  <conditionalFormatting sqref="F13">
    <cfRule type="cellIs" dxfId="16" priority="12" operator="equal">
      <formula>" "</formula>
    </cfRule>
    <cfRule type="cellIs" dxfId="15" priority="15" operator="equal">
      <formula>" "</formula>
    </cfRule>
    <cfRule type="cellIs" dxfId="14" priority="16" operator="equal">
      <formula>2</formula>
    </cfRule>
    <cfRule type="cellIs" priority="17" operator="equal">
      <formula>" "</formula>
    </cfRule>
    <cfRule type="cellIs" dxfId="13" priority="18" operator="equal">
      <formula>" "</formula>
    </cfRule>
  </conditionalFormatting>
  <conditionalFormatting sqref="F13:G13">
    <cfRule type="cellIs" dxfId="12" priority="13" operator="equal">
      <formula>" "</formula>
    </cfRule>
    <cfRule type="cellIs" dxfId="11" priority="14" operator="equal">
      <formula>" "</formula>
    </cfRule>
  </conditionalFormatting>
  <conditionalFormatting sqref="H13">
    <cfRule type="cellIs" dxfId="10" priority="5" operator="equal">
      <formula>" "</formula>
    </cfRule>
    <cfRule type="cellIs" dxfId="9" priority="8" operator="equal">
      <formula>" "</formula>
    </cfRule>
    <cfRule type="cellIs" dxfId="8" priority="9" operator="equal">
      <formula>2</formula>
    </cfRule>
    <cfRule type="cellIs" priority="10" operator="equal">
      <formula>" "</formula>
    </cfRule>
    <cfRule type="cellIs" dxfId="7" priority="11" operator="equal">
      <formula>" "</formula>
    </cfRule>
  </conditionalFormatting>
  <conditionalFormatting sqref="H13">
    <cfRule type="cellIs" dxfId="6" priority="6" operator="equal">
      <formula>" "</formula>
    </cfRule>
    <cfRule type="cellIs" dxfId="5" priority="7" operator="equal">
      <formula>" "</formula>
    </cfRule>
  </conditionalFormatting>
  <conditionalFormatting sqref="G13">
    <cfRule type="cellIs" dxfId="4" priority="4" operator="equal">
      <formula>" "</formula>
    </cfRule>
  </conditionalFormatting>
  <conditionalFormatting sqref="I13:J13">
    <cfRule type="cellIs" dxfId="3" priority="2" operator="equal">
      <formula>" "</formula>
    </cfRule>
    <cfRule type="cellIs" dxfId="2" priority="3" operator="equal">
      <formula>" "</formula>
    </cfRule>
  </conditionalFormatting>
  <conditionalFormatting sqref="I13:J13">
    <cfRule type="cellIs" dxfId="1" priority="1" operator="equal">
      <formula>" "</formula>
    </cfRule>
  </conditionalFormatting>
  <pageMargins left="0.7" right="0.7" top="0.78740157499999996" bottom="0.78740157499999996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Drop Down 1">
              <controlPr defaultSize="0" autoLine="0" autoPict="0">
                <anchor moveWithCells="1">
                  <from>
                    <xdr:col>10</xdr:col>
                    <xdr:colOff>66675</xdr:colOff>
                    <xdr:row>1</xdr:row>
                    <xdr:rowOff>9525</xdr:rowOff>
                  </from>
                  <to>
                    <xdr:col>10</xdr:col>
                    <xdr:colOff>742950</xdr:colOff>
                    <xdr:row>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Drop Down 2">
              <controlPr defaultSize="0" autoLine="0" autoPict="0">
                <anchor moveWithCells="1">
                  <from>
                    <xdr:col>6</xdr:col>
                    <xdr:colOff>9525</xdr:colOff>
                    <xdr:row>9</xdr:row>
                    <xdr:rowOff>9525</xdr:rowOff>
                  </from>
                  <to>
                    <xdr:col>6</xdr:col>
                    <xdr:colOff>752475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Drop Down 3">
              <controlPr defaultSize="0" autoLine="0" autoPict="0">
                <anchor moveWithCells="1">
                  <from>
                    <xdr:col>7</xdr:col>
                    <xdr:colOff>57150</xdr:colOff>
                    <xdr:row>9</xdr:row>
                    <xdr:rowOff>9525</xdr:rowOff>
                  </from>
                  <to>
                    <xdr:col>8</xdr:col>
                    <xdr:colOff>266700</xdr:colOff>
                    <xdr:row>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Drop Down 4">
              <controlPr defaultSize="0" autoLine="0" autoPict="0">
                <anchor moveWithCells="1">
                  <from>
                    <xdr:col>3</xdr:col>
                    <xdr:colOff>9525</xdr:colOff>
                    <xdr:row>11</xdr:row>
                    <xdr:rowOff>0</xdr:rowOff>
                  </from>
                  <to>
                    <xdr:col>4</xdr:col>
                    <xdr:colOff>542925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8" name="Drop Down 6">
              <controlPr defaultSize="0" autoLine="0" autoPict="0">
                <anchor moveWithCells="1">
                  <from>
                    <xdr:col>6</xdr:col>
                    <xdr:colOff>9525</xdr:colOff>
                    <xdr:row>11</xdr:row>
                    <xdr:rowOff>0</xdr:rowOff>
                  </from>
                  <to>
                    <xdr:col>7</xdr:col>
                    <xdr:colOff>304800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9" name="Drop Down 8">
              <controlPr defaultSize="0" autoLine="0" autoPict="0">
                <anchor moveWithCells="1">
                  <from>
                    <xdr:col>10</xdr:col>
                    <xdr:colOff>9525</xdr:colOff>
                    <xdr:row>6</xdr:row>
                    <xdr:rowOff>19050</xdr:rowOff>
                  </from>
                  <to>
                    <xdr:col>10</xdr:col>
                    <xdr:colOff>752475</xdr:colOff>
                    <xdr:row>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0" name="Drop Down 9">
              <controlPr defaultSize="0" autoLine="0" autoPict="0">
                <anchor moveWithCells="1">
                  <from>
                    <xdr:col>10</xdr:col>
                    <xdr:colOff>0</xdr:colOff>
                    <xdr:row>11</xdr:row>
                    <xdr:rowOff>9525</xdr:rowOff>
                  </from>
                  <to>
                    <xdr:col>10</xdr:col>
                    <xdr:colOff>752475</xdr:colOff>
                    <xdr:row>11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1" name="Drop Down 10">
              <controlPr defaultSize="0" autoLine="0" autoPict="0">
                <anchor moveWithCells="1">
                  <from>
                    <xdr:col>10</xdr:col>
                    <xdr:colOff>0</xdr:colOff>
                    <xdr:row>13</xdr:row>
                    <xdr:rowOff>9525</xdr:rowOff>
                  </from>
                  <to>
                    <xdr:col>11</xdr:col>
                    <xdr:colOff>9525</xdr:colOff>
                    <xdr:row>13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2" name="Drop Down 11">
              <controlPr defaultSize="0" autoLine="0" autoPict="0">
                <anchor moveWithCells="1">
                  <from>
                    <xdr:col>10</xdr:col>
                    <xdr:colOff>19050</xdr:colOff>
                    <xdr:row>4</xdr:row>
                    <xdr:rowOff>19050</xdr:rowOff>
                  </from>
                  <to>
                    <xdr:col>10</xdr:col>
                    <xdr:colOff>752475</xdr:colOff>
                    <xdr:row>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13" name="Drop Down 5">
              <controlPr defaultSize="0" autoLine="0" autoPict="0">
                <anchor moveWithCells="1">
                  <from>
                    <xdr:col>3</xdr:col>
                    <xdr:colOff>9525</xdr:colOff>
                    <xdr:row>9</xdr:row>
                    <xdr:rowOff>0</xdr:rowOff>
                  </from>
                  <to>
                    <xdr:col>5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4" name="Drop Down 12">
              <controlPr defaultSize="0" autoLine="0" autoPict="0">
                <anchor moveWithCells="1">
                  <from>
                    <xdr:col>2</xdr:col>
                    <xdr:colOff>9525</xdr:colOff>
                    <xdr:row>17</xdr:row>
                    <xdr:rowOff>0</xdr:rowOff>
                  </from>
                  <to>
                    <xdr:col>4</xdr:col>
                    <xdr:colOff>0</xdr:colOff>
                    <xdr:row>18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5" name="Drop Down 13">
              <controlPr defaultSize="0" autoLine="0" autoPict="0">
                <anchor moveWithCells="1">
                  <from>
                    <xdr:col>2</xdr:col>
                    <xdr:colOff>0</xdr:colOff>
                    <xdr:row>21</xdr:row>
                    <xdr:rowOff>9525</xdr:rowOff>
                  </from>
                  <to>
                    <xdr:col>4</xdr:col>
                    <xdr:colOff>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6" name="Drop Down 14">
              <controlPr defaultSize="0" autoLine="0" autoPict="0">
                <anchor moveWithCells="1">
                  <from>
                    <xdr:col>2</xdr:col>
                    <xdr:colOff>0</xdr:colOff>
                    <xdr:row>22</xdr:row>
                    <xdr:rowOff>9525</xdr:rowOff>
                  </from>
                  <to>
                    <xdr:col>4</xdr:col>
                    <xdr:colOff>9525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7" name="Drop Down 15">
              <controlPr defaultSize="0" autoLine="0" autoPict="0">
                <anchor moveWithCells="1">
                  <from>
                    <xdr:col>2</xdr:col>
                    <xdr:colOff>0</xdr:colOff>
                    <xdr:row>30</xdr:row>
                    <xdr:rowOff>0</xdr:rowOff>
                  </from>
                  <to>
                    <xdr:col>4</xdr:col>
                    <xdr:colOff>752475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8" name="Drop Down 16">
              <controlPr defaultSize="0" autoLine="0" autoPict="0">
                <anchor moveWithCells="1">
                  <from>
                    <xdr:col>10</xdr:col>
                    <xdr:colOff>9525</xdr:colOff>
                    <xdr:row>9</xdr:row>
                    <xdr:rowOff>19050</xdr:rowOff>
                  </from>
                  <to>
                    <xdr:col>10</xdr:col>
                    <xdr:colOff>752475</xdr:colOff>
                    <xdr:row>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19" name="Drop Down 17">
              <controlPr defaultSize="0" autoLine="0" autoPict="0">
                <anchor moveWithCells="1">
                  <from>
                    <xdr:col>15</xdr:col>
                    <xdr:colOff>333375</xdr:colOff>
                    <xdr:row>1</xdr:row>
                    <xdr:rowOff>9525</xdr:rowOff>
                  </from>
                  <to>
                    <xdr:col>16</xdr:col>
                    <xdr:colOff>161925</xdr:colOff>
                    <xdr:row>1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G39"/>
  <sheetViews>
    <sheetView topLeftCell="A7" workbookViewId="0">
      <selection activeCell="E33" sqref="E33"/>
    </sheetView>
  </sheetViews>
  <sheetFormatPr baseColWidth="10" defaultRowHeight="15" x14ac:dyDescent="0.25"/>
  <cols>
    <col min="1" max="1" width="9.7109375" customWidth="1"/>
    <col min="2" max="2" width="3" customWidth="1"/>
    <col min="3" max="3" width="5" customWidth="1"/>
    <col min="4" max="4" width="18.7109375" customWidth="1"/>
    <col min="8" max="8" width="12.7109375" customWidth="1"/>
  </cols>
  <sheetData>
    <row r="1" spans="1:5" ht="140.1" customHeight="1" x14ac:dyDescent="0.25"/>
    <row r="2" spans="1:5" ht="12.75" customHeight="1" x14ac:dyDescent="0.25"/>
    <row r="3" spans="1:5" ht="12.75" customHeight="1" x14ac:dyDescent="0.25">
      <c r="A3" s="436" t="str">
        <f>Eingabe1!C2</f>
        <v xml:space="preserve"> </v>
      </c>
      <c r="B3" s="436"/>
      <c r="C3" s="436"/>
      <c r="D3" s="436"/>
      <c r="E3" s="436"/>
    </row>
    <row r="4" spans="1:5" ht="12.75" customHeight="1" x14ac:dyDescent="0.25">
      <c r="A4" s="436" t="str">
        <f>Eingabe1!C3</f>
        <v xml:space="preserve"> </v>
      </c>
      <c r="B4" s="436"/>
      <c r="C4" s="436"/>
      <c r="D4" s="436"/>
      <c r="E4" s="436"/>
    </row>
    <row r="5" spans="1:5" ht="12.75" customHeight="1" x14ac:dyDescent="0.25">
      <c r="A5" s="436" t="str">
        <f>Eingabe1!C4</f>
        <v xml:space="preserve">  </v>
      </c>
      <c r="B5" s="436"/>
      <c r="C5" s="436"/>
      <c r="D5" s="436"/>
      <c r="E5" s="436"/>
    </row>
    <row r="6" spans="1:5" ht="12.75" customHeight="1" x14ac:dyDescent="0.25">
      <c r="A6" s="436" t="str">
        <f>Eingabe1!C5</f>
        <v xml:space="preserve"> </v>
      </c>
      <c r="B6" s="436"/>
      <c r="C6" s="436"/>
      <c r="D6" s="436"/>
      <c r="E6" s="436"/>
    </row>
    <row r="7" spans="1:5" ht="12.75" customHeight="1" x14ac:dyDescent="0.25">
      <c r="A7" s="110" t="str">
        <f>Eingabe1!C6</f>
        <v xml:space="preserve"> </v>
      </c>
      <c r="B7" s="436" t="str">
        <f>Eingabe1!D6</f>
        <v>Aachen</v>
      </c>
      <c r="C7" s="436"/>
      <c r="D7" s="436"/>
      <c r="E7" s="436"/>
    </row>
    <row r="8" spans="1:5" ht="45" customHeight="1" x14ac:dyDescent="0.25"/>
    <row r="9" spans="1:5" ht="12.75" customHeight="1" x14ac:dyDescent="0.25">
      <c r="A9" t="s">
        <v>98</v>
      </c>
      <c r="B9" s="434">
        <f ca="1">TODAY()</f>
        <v>44343</v>
      </c>
      <c r="C9" s="435"/>
      <c r="D9" s="435"/>
    </row>
    <row r="10" spans="1:5" ht="9" customHeight="1" x14ac:dyDescent="0.25"/>
    <row r="11" spans="1:5" ht="12.75" customHeight="1" x14ac:dyDescent="0.25">
      <c r="D11" s="25"/>
    </row>
    <row r="12" spans="1:5" ht="9" customHeight="1" x14ac:dyDescent="0.25"/>
    <row r="13" spans="1:5" ht="12.75" customHeight="1" x14ac:dyDescent="0.25"/>
    <row r="14" spans="1:5" ht="9" customHeight="1" x14ac:dyDescent="0.25"/>
    <row r="15" spans="1:5" ht="22.5" x14ac:dyDescent="0.25">
      <c r="A15" s="240" t="s">
        <v>95</v>
      </c>
    </row>
    <row r="16" spans="1:5" ht="20.100000000000001" customHeight="1" x14ac:dyDescent="0.25"/>
    <row r="17" spans="1:7" ht="15.75" x14ac:dyDescent="0.25">
      <c r="A17" s="221" t="str">
        <f>INDEX(Rechner!N9:N35,Rechner!N36)</f>
        <v>Bogen DIN A3</v>
      </c>
      <c r="B17" s="222"/>
      <c r="C17" s="222"/>
      <c r="D17" s="221"/>
      <c r="E17" s="221"/>
      <c r="F17" s="222"/>
      <c r="G17" s="29"/>
    </row>
    <row r="18" spans="1:7" ht="15.75" x14ac:dyDescent="0.25">
      <c r="A18" s="223" t="s">
        <v>18</v>
      </c>
      <c r="B18" s="223" t="str">
        <f>INDEX(Rechner!E46:E47,Rechner!E49)</f>
        <v>beidseitig</v>
      </c>
      <c r="C18" s="222"/>
      <c r="D18" s="222"/>
      <c r="E18" s="223" t="str">
        <f>INDEX(Rechner!G45:G47,Rechner!G49)</f>
        <v>vierfarbig Skala</v>
      </c>
      <c r="F18" s="222"/>
    </row>
    <row r="19" spans="1:7" ht="15.75" x14ac:dyDescent="0.25">
      <c r="A19" s="223" t="s">
        <v>24</v>
      </c>
      <c r="B19" s="223" t="str">
        <f>IF(Rechner!N80=32,Eingabe1!D13,INDEX(Rechner!N46:N78,Rechner!N80))</f>
        <v>Inaset Hartpost  °</v>
      </c>
      <c r="C19" s="223"/>
      <c r="D19" s="222"/>
      <c r="E19" s="221" t="str">
        <f>IF(Rechner!N80=32,Eingabe1!F13,Rechner!X80)</f>
        <v>80 g/qm</v>
      </c>
      <c r="F19" s="221" t="str">
        <f>Eingabe1!G13</f>
        <v xml:space="preserve"> </v>
      </c>
    </row>
    <row r="20" spans="1:7" ht="15.75" x14ac:dyDescent="0.25">
      <c r="A20" s="222" t="str">
        <f>IF(Rechner!X39*Rechner!U39=1,"beschnitten","nicht beschnitten")</f>
        <v>beschnitten</v>
      </c>
      <c r="B20" s="222"/>
      <c r="C20" s="222"/>
      <c r="D20" s="223" t="str">
        <f>IF(Rechner!AB40=1,"gefalzt","")</f>
        <v/>
      </c>
      <c r="E20" s="222"/>
    </row>
    <row r="21" spans="1:7" ht="15.75" customHeight="1" x14ac:dyDescent="0.25">
      <c r="A21" s="222" t="str">
        <f>IF(Rechner!Z40=1,"genutet","")</f>
        <v/>
      </c>
      <c r="B21" s="222"/>
      <c r="C21" s="222"/>
      <c r="D21" s="222"/>
      <c r="E21" s="222"/>
      <c r="F21" s="222"/>
    </row>
    <row r="22" spans="1:7" ht="15.75" customHeight="1" x14ac:dyDescent="0.25">
      <c r="A22" s="284" t="str">
        <f>Rechner!X117</f>
        <v xml:space="preserve"> </v>
      </c>
    </row>
    <row r="23" spans="1:7" ht="15.75" thickBot="1" x14ac:dyDescent="0.3">
      <c r="A23" s="224"/>
      <c r="B23" s="224"/>
      <c r="C23" s="224"/>
      <c r="D23" s="224"/>
      <c r="E23" s="224"/>
      <c r="F23" s="224"/>
      <c r="G23" s="224"/>
    </row>
    <row r="24" spans="1:7" ht="15.75" thickBot="1" x14ac:dyDescent="0.3">
      <c r="A24" s="225"/>
      <c r="B24" s="226"/>
      <c r="C24" s="226" t="s">
        <v>0</v>
      </c>
      <c r="D24" s="227"/>
      <c r="E24" s="228">
        <f>Eingabe1!D8</f>
        <v>1</v>
      </c>
      <c r="F24" s="229" t="str">
        <f>IF(Eingabe1!M20=0," ",Eingabe1!M9)</f>
        <v xml:space="preserve"> </v>
      </c>
      <c r="G24" s="229" t="str">
        <f>IF(Eingabe1!O20=0," ",Eingabe1!O9)</f>
        <v xml:space="preserve"> </v>
      </c>
    </row>
    <row r="25" spans="1:7" x14ac:dyDescent="0.25">
      <c r="A25" s="230"/>
      <c r="B25" s="231"/>
      <c r="C25" s="231"/>
      <c r="D25" s="232"/>
      <c r="E25" s="233"/>
      <c r="F25" s="233"/>
      <c r="G25" s="233"/>
    </row>
    <row r="26" spans="1:7" x14ac:dyDescent="0.25">
      <c r="A26" s="230"/>
      <c r="B26" s="437" t="s">
        <v>181</v>
      </c>
      <c r="C26" s="437"/>
      <c r="D26" s="438"/>
      <c r="E26" s="234">
        <f>Eingabe1!I22</f>
        <v>20.336134453781511</v>
      </c>
      <c r="F26" s="234" t="str">
        <f>IF(Eingabe1!M9=0," ",Eingabe1!M20)</f>
        <v xml:space="preserve"> </v>
      </c>
      <c r="G26" s="234" t="str">
        <f>IF(Eingabe1!O9=0," ",Eingabe1!O20)</f>
        <v xml:space="preserve"> </v>
      </c>
    </row>
    <row r="27" spans="1:7" x14ac:dyDescent="0.25">
      <c r="A27" s="230"/>
      <c r="B27" s="437"/>
      <c r="C27" s="437"/>
      <c r="D27" s="438"/>
      <c r="E27" s="234"/>
      <c r="F27" s="234"/>
      <c r="G27" s="234"/>
    </row>
    <row r="28" spans="1:7" x14ac:dyDescent="0.25">
      <c r="A28" s="230"/>
      <c r="B28" s="437" t="str">
        <f>Rechner!N147</f>
        <v xml:space="preserve"> </v>
      </c>
      <c r="C28" s="437"/>
      <c r="D28" s="438"/>
      <c r="E28" s="234" t="str">
        <f>IF(Eingabe1!F22=0," ",Eingabe1!F22/Rechner!C51)</f>
        <v xml:space="preserve"> </v>
      </c>
      <c r="F28" s="234" t="str">
        <f>IF(Eingabe1!F22*Eingabe1!M9=0," ",Eingabe1!E22)</f>
        <v xml:space="preserve"> </v>
      </c>
      <c r="G28" s="234" t="str">
        <f>IF(Eingabe1!F22*Eingabe1!O9=0," ",Eingabe1!E22)</f>
        <v xml:space="preserve"> </v>
      </c>
    </row>
    <row r="29" spans="1:7" x14ac:dyDescent="0.25">
      <c r="A29" s="230" t="str">
        <f>IF(Eingabe1!B23=0," ",Eingabe1!B23)</f>
        <v xml:space="preserve"> </v>
      </c>
      <c r="B29" s="437" t="str">
        <f>Rechner!N149</f>
        <v xml:space="preserve"> </v>
      </c>
      <c r="C29" s="437"/>
      <c r="D29" s="438"/>
      <c r="E29" s="234" t="str">
        <f>IF(Eingabe1!F23=0," ",Eingabe1!F23/Rechner!C51)</f>
        <v xml:space="preserve"> </v>
      </c>
      <c r="F29" s="234" t="str">
        <f>IF(Eingabe1!F23*Eingabe1!M9=0," ",Eingabe1!E23)</f>
        <v xml:space="preserve"> </v>
      </c>
      <c r="G29" s="234" t="str">
        <f>IF(Eingabe1!F23*Eingabe1!O9=0," ",Eingabe1!E23)</f>
        <v xml:space="preserve"> </v>
      </c>
    </row>
    <row r="30" spans="1:7" x14ac:dyDescent="0.25">
      <c r="A30" s="251" t="str">
        <f>IF(Eingabe1!B29=0," ",Eingabe1!B29)</f>
        <v xml:space="preserve"> </v>
      </c>
      <c r="B30" s="432">
        <f>Eingabe1!C29</f>
        <v>0</v>
      </c>
      <c r="C30" s="432"/>
      <c r="D30" s="433"/>
      <c r="E30" s="234" t="str">
        <f>IF(Eingabe1!G29=0," ",Eingabe1!G29/Rechner!C51)</f>
        <v xml:space="preserve"> </v>
      </c>
      <c r="F30" s="234" t="str">
        <f>IF(Eingabe1!N29*Eingabe1!M9=0," ",Eingabe1!M29)</f>
        <v xml:space="preserve"> </v>
      </c>
      <c r="G30" s="234" t="str">
        <f>IF(Eingabe1!P29*Eingabe1!M9=0," ",Eingabe1!O29)</f>
        <v xml:space="preserve"> </v>
      </c>
    </row>
    <row r="31" spans="1:7" x14ac:dyDescent="0.25">
      <c r="A31" s="251" t="str">
        <f>IF(Eingabe1!B30=0," ",Eingabe1!B30)</f>
        <v xml:space="preserve"> </v>
      </c>
      <c r="B31" s="432" t="str">
        <f>Eingabe1!C30</f>
        <v xml:space="preserve"> </v>
      </c>
      <c r="C31" s="432"/>
      <c r="D31" s="433"/>
      <c r="E31" s="234" t="str">
        <f>IF(Eingabe1!G30=0," ",Eingabe1!G30/Rechner!C51)</f>
        <v xml:space="preserve"> </v>
      </c>
      <c r="F31" s="234" t="str">
        <f>IF(Eingabe1!N30*Eingabe1!M9=0," ",Eingabe1!M30)</f>
        <v xml:space="preserve"> </v>
      </c>
      <c r="G31" s="234" t="str">
        <f>IF(Eingabe1!P30*Eingabe1!M9=0," ",Eingabe1!O30)</f>
        <v xml:space="preserve"> </v>
      </c>
    </row>
    <row r="32" spans="1:7" ht="15.75" thickBot="1" x14ac:dyDescent="0.3">
      <c r="A32" s="251"/>
      <c r="B32" s="432" t="str">
        <f>Rechner!X147</f>
        <v xml:space="preserve"> </v>
      </c>
      <c r="C32" s="432"/>
      <c r="D32" s="433"/>
      <c r="E32" s="287" t="str">
        <f>IF(Eingabe1!G31=0," ",Eingabe1!G31/Rechner!C51)</f>
        <v xml:space="preserve"> </v>
      </c>
      <c r="F32" s="287" t="str">
        <f>IF(Eingabe1!M31=0," ",Eingabe1!M31)</f>
        <v xml:space="preserve"> </v>
      </c>
      <c r="G32" s="287" t="str">
        <f>IF(Eingabe1!O31=0," ",Eingabe1!O31)</f>
        <v xml:space="preserve"> </v>
      </c>
    </row>
    <row r="33" spans="1:7" x14ac:dyDescent="0.25">
      <c r="A33" s="89"/>
      <c r="B33" s="247"/>
      <c r="C33" s="296"/>
      <c r="D33" s="297" t="s">
        <v>9</v>
      </c>
      <c r="E33" s="295">
        <f>SUM(E25:E32)</f>
        <v>20.336134453781511</v>
      </c>
      <c r="F33" s="234" t="str">
        <f>IF(Eingabe1!M9=0," ",SUM(Angebot!F25:F32))</f>
        <v xml:space="preserve"> </v>
      </c>
      <c r="G33" s="234" t="str">
        <f>IF(Eingabe1!O9=0," ",SUM(Angebot!G25:G32))</f>
        <v xml:space="preserve"> </v>
      </c>
    </row>
    <row r="34" spans="1:7" ht="15.75" thickBot="1" x14ac:dyDescent="0.3">
      <c r="A34" s="89"/>
      <c r="B34" s="247"/>
      <c r="C34" s="298">
        <f>Rechner!B51</f>
        <v>0.19</v>
      </c>
      <c r="D34" s="299" t="s">
        <v>196</v>
      </c>
      <c r="E34" s="295">
        <f>E33*C34</f>
        <v>3.8638655462184874</v>
      </c>
      <c r="F34" s="234" t="str">
        <f>IF(Eingabe1!M20=0," ",F33*C34)</f>
        <v xml:space="preserve"> </v>
      </c>
      <c r="G34" s="234" t="str">
        <f>IF(Eingabe1!O20=0," ",G33*C34)</f>
        <v xml:space="preserve"> </v>
      </c>
    </row>
    <row r="35" spans="1:7" ht="15.75" thickBot="1" x14ac:dyDescent="0.3">
      <c r="A35" s="235"/>
      <c r="B35" s="236"/>
      <c r="C35" s="339">
        <f>Rechner!F36</f>
        <v>2</v>
      </c>
      <c r="D35" s="237" t="s">
        <v>96</v>
      </c>
      <c r="E35" s="238">
        <f>SUM(E33:E34)</f>
        <v>24.2</v>
      </c>
      <c r="F35" s="239" t="str">
        <f>IF(Eingabe1!M20=0," ",SUM(Angebot!F33:F34))</f>
        <v xml:space="preserve"> </v>
      </c>
      <c r="G35" s="239" t="str">
        <f>IF(Eingabe1!O20=0," ",SUM(Angebot!G33:G34))</f>
        <v xml:space="preserve"> </v>
      </c>
    </row>
    <row r="36" spans="1:7" x14ac:dyDescent="0.25">
      <c r="A36" s="224"/>
      <c r="B36" s="224"/>
      <c r="C36" s="224"/>
      <c r="D36" s="224"/>
      <c r="E36" s="224"/>
      <c r="F36" s="224"/>
      <c r="G36" s="224"/>
    </row>
    <row r="37" spans="1:7" x14ac:dyDescent="0.25">
      <c r="A37" s="224"/>
      <c r="B37" s="224"/>
      <c r="C37" s="224"/>
      <c r="D37" s="224"/>
      <c r="E37" s="224"/>
      <c r="F37" s="224"/>
      <c r="G37" s="224"/>
    </row>
    <row r="38" spans="1:7" x14ac:dyDescent="0.25">
      <c r="A38" s="224" t="str">
        <f>IF(A22=" ","Eine druckfertige PDF-Datei wird von Ihnen gestellt."," ")</f>
        <v>Eine druckfertige PDF-Datei wird von Ihnen gestellt.</v>
      </c>
      <c r="B38" s="224"/>
      <c r="C38" s="224"/>
      <c r="D38" s="224"/>
      <c r="E38" s="224"/>
      <c r="F38" s="224"/>
      <c r="G38" s="224"/>
    </row>
    <row r="39" spans="1:7" x14ac:dyDescent="0.25">
      <c r="A39" s="224"/>
      <c r="B39" s="224"/>
      <c r="C39" s="224"/>
      <c r="D39" s="224"/>
      <c r="E39" s="224"/>
      <c r="F39" s="224"/>
      <c r="G39" s="224"/>
    </row>
  </sheetData>
  <sheetProtection algorithmName="SHA-512" hashValue="cgHxtmaLHHsDhaAphsgjFdpuWcz94UJ49XHUXMyRgIxvaE3eLHh3JTWUTMoGY04i8ui3YeuM10mjjSwypmJ6nQ==" saltValue="m3JIIAYSQI9EVMGTbJbpxw==" spinCount="100000" sheet="1" objects="1" scenarios="1"/>
  <mergeCells count="13">
    <mergeCell ref="B31:D31"/>
    <mergeCell ref="B32:D32"/>
    <mergeCell ref="B9:D9"/>
    <mergeCell ref="A3:E3"/>
    <mergeCell ref="A4:E4"/>
    <mergeCell ref="A5:E5"/>
    <mergeCell ref="A6:E6"/>
    <mergeCell ref="B7:E7"/>
    <mergeCell ref="B26:D26"/>
    <mergeCell ref="B28:D28"/>
    <mergeCell ref="B30:D30"/>
    <mergeCell ref="B29:D29"/>
    <mergeCell ref="B27:D27"/>
  </mergeCells>
  <conditionalFormatting sqref="L24:L29">
    <cfRule type="cellIs" dxfId="0" priority="1" operator="greaterThan">
      <formula>0</formula>
    </cfRule>
  </conditionalFormatting>
  <pageMargins left="0.70866141732283472" right="0.11811023622047245" top="0.78740157480314965" bottom="0.39370078740157483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I55"/>
  <sheetViews>
    <sheetView topLeftCell="A10" workbookViewId="0">
      <selection activeCell="D11" sqref="D11"/>
    </sheetView>
  </sheetViews>
  <sheetFormatPr baseColWidth="10" defaultRowHeight="14.25" x14ac:dyDescent="0.2"/>
  <cols>
    <col min="1" max="1" width="9.7109375" style="224" customWidth="1"/>
    <col min="2" max="2" width="3" style="224" customWidth="1"/>
    <col min="3" max="3" width="5.7109375" style="224" customWidth="1"/>
    <col min="4" max="4" width="3.28515625" style="224" customWidth="1"/>
    <col min="5" max="8" width="11.42578125" style="224"/>
    <col min="9" max="9" width="19.7109375" style="308" customWidth="1"/>
    <col min="10" max="16384" width="11.42578125" style="224"/>
  </cols>
  <sheetData>
    <row r="1" spans="1:5" ht="110.1" customHeight="1" x14ac:dyDescent="0.2"/>
    <row r="2" spans="1:5" ht="12.75" customHeight="1" x14ac:dyDescent="0.2"/>
    <row r="3" spans="1:5" ht="12.75" customHeight="1" x14ac:dyDescent="0.2">
      <c r="A3" s="439" t="str">
        <f>Eingabe1!C2</f>
        <v xml:space="preserve"> </v>
      </c>
      <c r="B3" s="439"/>
      <c r="C3" s="439"/>
      <c r="D3" s="439"/>
      <c r="E3" s="439"/>
    </row>
    <row r="4" spans="1:5" ht="12.75" customHeight="1" x14ac:dyDescent="0.2">
      <c r="A4" s="439" t="str">
        <f>Eingabe1!C3</f>
        <v xml:space="preserve"> </v>
      </c>
      <c r="B4" s="439"/>
      <c r="C4" s="439"/>
      <c r="D4" s="439"/>
      <c r="E4" s="439"/>
    </row>
    <row r="5" spans="1:5" ht="12.75" customHeight="1" x14ac:dyDescent="0.2">
      <c r="A5" s="439" t="str">
        <f>Eingabe1!C4</f>
        <v xml:space="preserve">  </v>
      </c>
      <c r="B5" s="439"/>
      <c r="C5" s="439"/>
      <c r="D5" s="439"/>
      <c r="E5" s="439"/>
    </row>
    <row r="6" spans="1:5" ht="12.75" customHeight="1" x14ac:dyDescent="0.2">
      <c r="A6" s="439" t="str">
        <f>Eingabe1!C5</f>
        <v xml:space="preserve"> </v>
      </c>
      <c r="B6" s="439"/>
      <c r="C6" s="439"/>
      <c r="D6" s="439"/>
      <c r="E6" s="439"/>
    </row>
    <row r="7" spans="1:5" ht="12.75" customHeight="1" x14ac:dyDescent="0.2">
      <c r="A7" s="309" t="str">
        <f>Eingabe1!C6</f>
        <v xml:space="preserve"> </v>
      </c>
      <c r="B7" s="439" t="str">
        <f>Eingabe1!D6</f>
        <v>Aachen</v>
      </c>
      <c r="C7" s="439"/>
      <c r="D7" s="439"/>
      <c r="E7" s="439"/>
    </row>
    <row r="8" spans="1:5" ht="54" customHeight="1" x14ac:dyDescent="0.2"/>
    <row r="9" spans="1:5" ht="12.75" customHeight="1" x14ac:dyDescent="0.2">
      <c r="B9" s="442">
        <f ca="1">Eingabe1!H2</f>
        <v>44343</v>
      </c>
      <c r="C9" s="439"/>
      <c r="D9" s="439"/>
    </row>
    <row r="10" spans="1:5" ht="9" customHeight="1" x14ac:dyDescent="0.2"/>
    <row r="11" spans="1:5" ht="12.75" customHeight="1" x14ac:dyDescent="0.2">
      <c r="B11" s="224">
        <f>Angebot!C34*100</f>
        <v>19</v>
      </c>
      <c r="C11" s="224">
        <f>Eingabe1!H3</f>
        <v>0</v>
      </c>
      <c r="D11" s="310">
        <v>20</v>
      </c>
    </row>
    <row r="12" spans="1:5" ht="9" customHeight="1" x14ac:dyDescent="0.2"/>
    <row r="13" spans="1:5" ht="12.75" customHeight="1" x14ac:dyDescent="0.2">
      <c r="B13" s="439">
        <f>Eingabe1!H4</f>
        <v>10021</v>
      </c>
      <c r="C13" s="439"/>
      <c r="D13" s="439"/>
    </row>
    <row r="14" spans="1:5" ht="9" customHeight="1" x14ac:dyDescent="0.2"/>
    <row r="15" spans="1:5" ht="12.75" customHeight="1" x14ac:dyDescent="0.2">
      <c r="B15" s="439" t="str">
        <f>Eingabe1!H5</f>
        <v xml:space="preserve"> </v>
      </c>
      <c r="C15" s="439"/>
      <c r="D15" s="439"/>
    </row>
    <row r="16" spans="1:5" ht="56.1" customHeight="1" x14ac:dyDescent="0.2"/>
    <row r="17" spans="1:9" ht="12.75" customHeight="1" x14ac:dyDescent="0.2">
      <c r="A17" s="311">
        <f>Eingabe1!D8</f>
        <v>1</v>
      </c>
      <c r="C17" s="312" t="str">
        <f>INDEX(Rechner!N9:N35,Rechner!N36)</f>
        <v>Bogen DIN A3</v>
      </c>
      <c r="D17" s="312"/>
      <c r="E17" s="312"/>
      <c r="G17" s="312"/>
      <c r="H17" s="312"/>
      <c r="I17" s="308">
        <f>Eingabe1!I22</f>
        <v>20.336134453781511</v>
      </c>
    </row>
    <row r="18" spans="1:9" ht="12.75" customHeight="1" x14ac:dyDescent="0.2">
      <c r="C18" s="439" t="s">
        <v>18</v>
      </c>
      <c r="D18" s="439"/>
      <c r="E18" s="309" t="str">
        <f>INDEX(Rechner!E46:E47,Rechner!E49)</f>
        <v>beidseitig</v>
      </c>
      <c r="F18" s="439" t="str">
        <f>INDEX(Rechner!G45:G47,Rechner!G49)</f>
        <v>vierfarbig Skala</v>
      </c>
      <c r="G18" s="439"/>
      <c r="H18" s="439"/>
    </row>
    <row r="19" spans="1:9" ht="12.75" customHeight="1" x14ac:dyDescent="0.2">
      <c r="C19" s="439" t="s">
        <v>24</v>
      </c>
      <c r="D19" s="439"/>
      <c r="E19" s="439" t="str">
        <f>IF(Rechner!N80=32,Eingabe1!D13,INDEX(Rechner!N46:N78,Rechner!N80))</f>
        <v>Inaset Hartpost  °</v>
      </c>
      <c r="F19" s="439"/>
      <c r="G19" s="312" t="str">
        <f>IF(Rechner!N80=32,Eingabe1!F13,Rechner!X80)</f>
        <v>80 g/qm</v>
      </c>
      <c r="H19" s="312" t="str">
        <f>Eingabe1!G13</f>
        <v xml:space="preserve"> </v>
      </c>
    </row>
    <row r="20" spans="1:9" ht="12.75" customHeight="1" x14ac:dyDescent="0.2">
      <c r="C20" s="224" t="str">
        <f>IF(Rechner!X39*Rechner!U39=1,"beschnitten","nicht beschnitten")</f>
        <v>beschnitten</v>
      </c>
      <c r="F20" s="309" t="str">
        <f>IF(Rechner!AB40=1,"gefalzt","")</f>
        <v/>
      </c>
      <c r="H20" s="222"/>
    </row>
    <row r="21" spans="1:9" ht="12.75" customHeight="1" x14ac:dyDescent="0.2">
      <c r="C21" s="224" t="str">
        <f>Rechner!X117</f>
        <v xml:space="preserve"> </v>
      </c>
    </row>
    <row r="22" spans="1:9" ht="12.75" customHeight="1" x14ac:dyDescent="0.2">
      <c r="C22" s="439"/>
      <c r="D22" s="439"/>
      <c r="E22" s="439"/>
      <c r="F22" s="439"/>
      <c r="G22" s="439"/>
    </row>
    <row r="23" spans="1:9" ht="12.75" customHeight="1" x14ac:dyDescent="0.2">
      <c r="C23" s="439" t="str">
        <f>Rechner!N147</f>
        <v xml:space="preserve"> </v>
      </c>
      <c r="D23" s="439"/>
      <c r="E23" s="439"/>
      <c r="F23" s="439"/>
      <c r="G23" s="439"/>
      <c r="I23" s="308" t="str">
        <f>IF(Eingabe1!E22=0," ",Eingabe1!E22)</f>
        <v xml:space="preserve"> </v>
      </c>
    </row>
    <row r="24" spans="1:9" ht="12.75" customHeight="1" x14ac:dyDescent="0.2">
      <c r="A24" s="311" t="str">
        <f>IF(Eingabe1!B23=0," ",Eingabe1!B23)</f>
        <v xml:space="preserve"> </v>
      </c>
      <c r="C24" s="224" t="str">
        <f>Rechner!N149</f>
        <v xml:space="preserve"> </v>
      </c>
      <c r="I24" s="308" t="str">
        <f>IF(Eingabe1!E23=0," ",Eingabe1!E23)</f>
        <v xml:space="preserve"> </v>
      </c>
    </row>
    <row r="25" spans="1:9" ht="12.75" customHeight="1" x14ac:dyDescent="0.2">
      <c r="A25" s="311" t="str">
        <f>IF(Eingabe1!B29=0," ",Eingabe1!B29)</f>
        <v xml:space="preserve"> </v>
      </c>
      <c r="C25" s="312" t="str">
        <f>IF(Eingabe1!C29=0," ",Eingabe1!C29)</f>
        <v xml:space="preserve"> </v>
      </c>
      <c r="D25" s="312"/>
      <c r="E25" s="312"/>
      <c r="F25" s="312"/>
      <c r="I25" s="313" t="str">
        <f>IF(Eingabe1!B29=0," ",Eingabe1!F29)</f>
        <v xml:space="preserve"> </v>
      </c>
    </row>
    <row r="26" spans="1:9" ht="12.75" customHeight="1" x14ac:dyDescent="0.2">
      <c r="A26" s="311" t="str">
        <f>IF(Eingabe1!B30=0," ",Eingabe1!B30)</f>
        <v xml:space="preserve"> </v>
      </c>
      <c r="C26" s="311" t="str">
        <f>IF(Eingabe1!C30=0," ",Eingabe1!C30)</f>
        <v xml:space="preserve"> </v>
      </c>
      <c r="I26" s="313" t="str">
        <f>IF(Eingabe1!B30=0," ",Eingabe1!F30)</f>
        <v xml:space="preserve"> </v>
      </c>
    </row>
    <row r="27" spans="1:9" ht="12.75" customHeight="1" x14ac:dyDescent="0.2">
      <c r="A27" s="311" t="str">
        <f>IF(Eingabe1!B31=0," ",Eingabe1!B31)</f>
        <v xml:space="preserve"> </v>
      </c>
      <c r="C27" s="309" t="str">
        <f>Rechner!X147</f>
        <v xml:space="preserve"> </v>
      </c>
      <c r="I27" s="313" t="str">
        <f>IF(Eingabe1!B31=0," ",Eingabe1!F31)</f>
        <v xml:space="preserve"> </v>
      </c>
    </row>
    <row r="28" spans="1:9" ht="12.75" customHeight="1" x14ac:dyDescent="0.2">
      <c r="C28" s="309"/>
    </row>
    <row r="29" spans="1:9" ht="12.75" customHeight="1" x14ac:dyDescent="0.2"/>
    <row r="30" spans="1:9" ht="12.75" customHeight="1" x14ac:dyDescent="0.2"/>
    <row r="31" spans="1:9" ht="12.75" customHeight="1" x14ac:dyDescent="0.2"/>
    <row r="32" spans="1:9" ht="12.75" customHeight="1" x14ac:dyDescent="0.2"/>
    <row r="33" spans="4:9" ht="12.75" customHeight="1" x14ac:dyDescent="0.2"/>
    <row r="34" spans="4:9" ht="12.75" customHeight="1" x14ac:dyDescent="0.2"/>
    <row r="35" spans="4:9" ht="20.100000000000001" customHeight="1" x14ac:dyDescent="0.2"/>
    <row r="36" spans="4:9" ht="3" customHeight="1" x14ac:dyDescent="0.2">
      <c r="D36" s="443"/>
      <c r="E36" s="443"/>
      <c r="I36" s="440">
        <f>SUM(I17:I34)</f>
        <v>20.336134453781511</v>
      </c>
    </row>
    <row r="37" spans="4:9" ht="3" customHeight="1" x14ac:dyDescent="0.2">
      <c r="D37" s="443"/>
      <c r="E37" s="443"/>
      <c r="I37" s="440"/>
    </row>
    <row r="38" spans="4:9" ht="3" customHeight="1" x14ac:dyDescent="0.2">
      <c r="D38" s="443"/>
      <c r="E38" s="443"/>
      <c r="I38" s="440"/>
    </row>
    <row r="39" spans="4:9" ht="3" customHeight="1" x14ac:dyDescent="0.2">
      <c r="D39" s="443"/>
      <c r="E39" s="443"/>
      <c r="I39" s="440"/>
    </row>
    <row r="40" spans="4:9" ht="3" customHeight="1" x14ac:dyDescent="0.2">
      <c r="I40" s="314"/>
    </row>
    <row r="41" spans="4:9" ht="3" customHeight="1" x14ac:dyDescent="0.2">
      <c r="I41" s="314"/>
    </row>
    <row r="42" spans="4:9" ht="3" customHeight="1" x14ac:dyDescent="0.2">
      <c r="I42" s="440">
        <f>I36*Angebot!C34</f>
        <v>3.8638655462184874</v>
      </c>
    </row>
    <row r="43" spans="4:9" ht="3" customHeight="1" x14ac:dyDescent="0.2">
      <c r="I43" s="440"/>
    </row>
    <row r="44" spans="4:9" ht="3" customHeight="1" x14ac:dyDescent="0.2">
      <c r="I44" s="440"/>
    </row>
    <row r="45" spans="4:9" ht="3" customHeight="1" x14ac:dyDescent="0.2">
      <c r="H45" s="441">
        <f>Angebot!C34*100</f>
        <v>19</v>
      </c>
      <c r="I45" s="440"/>
    </row>
    <row r="46" spans="4:9" ht="3" customHeight="1" x14ac:dyDescent="0.2">
      <c r="H46" s="441"/>
      <c r="I46" s="314"/>
    </row>
    <row r="47" spans="4:9" ht="3" customHeight="1" x14ac:dyDescent="0.2">
      <c r="H47" s="441"/>
      <c r="I47" s="314"/>
    </row>
    <row r="48" spans="4:9" ht="3" customHeight="1" x14ac:dyDescent="0.2">
      <c r="H48" s="441"/>
      <c r="I48" s="314"/>
    </row>
    <row r="49" spans="9:9" ht="3" customHeight="1" x14ac:dyDescent="0.2">
      <c r="I49" s="440">
        <f>I36+I42</f>
        <v>24.2</v>
      </c>
    </row>
    <row r="50" spans="9:9" ht="3" customHeight="1" x14ac:dyDescent="0.2">
      <c r="I50" s="440"/>
    </row>
    <row r="51" spans="9:9" ht="3" customHeight="1" x14ac:dyDescent="0.2">
      <c r="I51" s="440"/>
    </row>
    <row r="52" spans="9:9" ht="3" customHeight="1" x14ac:dyDescent="0.2">
      <c r="I52" s="440"/>
    </row>
    <row r="53" spans="9:9" ht="3" customHeight="1" x14ac:dyDescent="0.2"/>
    <row r="54" spans="9:9" ht="3" customHeight="1" x14ac:dyDescent="0.2"/>
    <row r="55" spans="9:9" ht="3" customHeight="1" x14ac:dyDescent="0.2"/>
  </sheetData>
  <mergeCells count="19">
    <mergeCell ref="I49:I52"/>
    <mergeCell ref="H45:H48"/>
    <mergeCell ref="B9:D9"/>
    <mergeCell ref="C18:D18"/>
    <mergeCell ref="F18:H18"/>
    <mergeCell ref="C19:D19"/>
    <mergeCell ref="E19:F19"/>
    <mergeCell ref="D36:E39"/>
    <mergeCell ref="I36:I39"/>
    <mergeCell ref="I42:I45"/>
    <mergeCell ref="B13:D13"/>
    <mergeCell ref="B15:D15"/>
    <mergeCell ref="C22:G22"/>
    <mergeCell ref="C23:G23"/>
    <mergeCell ref="A3:E3"/>
    <mergeCell ref="A4:E4"/>
    <mergeCell ref="A5:E5"/>
    <mergeCell ref="A6:E6"/>
    <mergeCell ref="B7:E7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workbookViewId="0">
      <selection activeCell="I23" sqref="I23"/>
    </sheetView>
  </sheetViews>
  <sheetFormatPr baseColWidth="10" defaultRowHeight="15" x14ac:dyDescent="0.25"/>
  <cols>
    <col min="1" max="1" width="9.7109375" customWidth="1"/>
    <col min="2" max="2" width="3" customWidth="1"/>
    <col min="3" max="3" width="5" customWidth="1"/>
    <col min="4" max="4" width="3.28515625" customWidth="1"/>
    <col min="9" max="9" width="19.7109375" style="45" customWidth="1"/>
  </cols>
  <sheetData>
    <row r="1" spans="1:8" ht="120" customHeight="1" x14ac:dyDescent="0.25"/>
    <row r="2" spans="1:8" ht="12.75" customHeight="1" x14ac:dyDescent="0.25">
      <c r="A2" t="s">
        <v>105</v>
      </c>
    </row>
    <row r="3" spans="1:8" ht="12.75" customHeight="1" x14ac:dyDescent="0.25">
      <c r="A3" s="436" t="str">
        <f>Eingabe1!C2</f>
        <v xml:space="preserve"> </v>
      </c>
      <c r="B3" s="436"/>
      <c r="C3" s="436"/>
      <c r="D3" s="436"/>
      <c r="E3" s="436"/>
    </row>
    <row r="4" spans="1:8" ht="12.75" customHeight="1" x14ac:dyDescent="0.25">
      <c r="A4" s="436" t="str">
        <f>Eingabe1!C3</f>
        <v xml:space="preserve"> </v>
      </c>
      <c r="B4" s="436"/>
      <c r="C4" s="436"/>
      <c r="D4" s="436"/>
      <c r="E4" s="436"/>
    </row>
    <row r="5" spans="1:8" ht="12.75" customHeight="1" x14ac:dyDescent="0.25">
      <c r="A5" s="436" t="str">
        <f>Eingabe1!C4</f>
        <v xml:space="preserve">  </v>
      </c>
      <c r="B5" s="436"/>
      <c r="C5" s="436"/>
      <c r="D5" s="436"/>
      <c r="E5" s="436"/>
    </row>
    <row r="6" spans="1:8" ht="12.75" customHeight="1" x14ac:dyDescent="0.25">
      <c r="A6" s="436" t="str">
        <f>Eingabe1!C5</f>
        <v xml:space="preserve"> </v>
      </c>
      <c r="B6" s="436"/>
      <c r="C6" s="436"/>
      <c r="D6" s="436"/>
      <c r="E6" s="436"/>
    </row>
    <row r="7" spans="1:8" ht="12.75" customHeight="1" x14ac:dyDescent="0.25">
      <c r="A7" s="278" t="str">
        <f>Eingabe1!C6</f>
        <v xml:space="preserve"> </v>
      </c>
      <c r="B7" s="436" t="str">
        <f>Eingabe1!D6</f>
        <v>Aachen</v>
      </c>
      <c r="C7" s="436"/>
      <c r="D7" s="436"/>
      <c r="E7" s="436"/>
    </row>
    <row r="8" spans="1:8" ht="54" customHeight="1" x14ac:dyDescent="0.25"/>
    <row r="9" spans="1:8" ht="15" customHeight="1" x14ac:dyDescent="0.25"/>
    <row r="10" spans="1:8" ht="12.75" customHeight="1" x14ac:dyDescent="0.25"/>
    <row r="11" spans="1:8" ht="56.1" customHeight="1" x14ac:dyDescent="0.25"/>
    <row r="12" spans="1:8" ht="12.75" customHeight="1" x14ac:dyDescent="0.25">
      <c r="A12" s="277">
        <f>Eingabe1!D8</f>
        <v>1</v>
      </c>
      <c r="C12" s="29" t="str">
        <f>INDEX(Rechner!N9:N35,Rechner!N36)</f>
        <v>Bogen DIN A3</v>
      </c>
      <c r="D12" s="29"/>
      <c r="E12" s="29"/>
      <c r="G12" s="29"/>
      <c r="H12" s="29"/>
    </row>
    <row r="13" spans="1:8" ht="12.75" customHeight="1" x14ac:dyDescent="0.25">
      <c r="C13" s="436"/>
      <c r="D13" s="436"/>
      <c r="E13" s="278"/>
      <c r="F13" s="436"/>
      <c r="G13" s="436"/>
      <c r="H13" s="436"/>
    </row>
    <row r="14" spans="1:8" ht="12.75" customHeight="1" x14ac:dyDescent="0.25">
      <c r="C14" s="436"/>
      <c r="D14" s="436"/>
      <c r="E14" s="436"/>
      <c r="F14" s="436"/>
      <c r="G14" s="29"/>
    </row>
    <row r="15" spans="1:8" ht="12.75" customHeight="1" x14ac:dyDescent="0.25">
      <c r="F15" s="278"/>
    </row>
    <row r="16" spans="1:8" ht="12.75" customHeight="1" x14ac:dyDescent="0.25">
      <c r="F16" s="278"/>
    </row>
    <row r="17" spans="1:9" ht="12.75" customHeight="1" x14ac:dyDescent="0.25">
      <c r="F17" s="278"/>
    </row>
    <row r="18" spans="1:9" ht="12.75" customHeight="1" x14ac:dyDescent="0.25">
      <c r="F18" s="278"/>
    </row>
    <row r="19" spans="1:9" ht="12.75" customHeight="1" x14ac:dyDescent="0.25">
      <c r="F19" s="278"/>
    </row>
    <row r="20" spans="1:9" ht="12.75" customHeight="1" x14ac:dyDescent="0.25">
      <c r="F20" s="278"/>
    </row>
    <row r="21" spans="1:9" ht="12.75" customHeight="1" x14ac:dyDescent="0.25">
      <c r="F21" s="278"/>
    </row>
    <row r="22" spans="1:9" ht="12.75" customHeight="1" x14ac:dyDescent="0.25"/>
    <row r="23" spans="1:9" ht="12.75" customHeight="1" x14ac:dyDescent="0.25">
      <c r="A23" s="277">
        <f>Eingabe1!B29</f>
        <v>0</v>
      </c>
      <c r="C23" s="436"/>
      <c r="D23" s="436"/>
      <c r="E23" s="436"/>
      <c r="F23" s="436"/>
      <c r="G23" s="436"/>
      <c r="I23" s="45" t="str">
        <f>IF(Eingabe1!F29=0," ",Eingabe1!G29)</f>
        <v xml:space="preserve"> </v>
      </c>
    </row>
    <row r="24" spans="1:9" ht="12.75" customHeight="1" x14ac:dyDescent="0.25"/>
    <row r="25" spans="1:9" ht="12.75" customHeight="1" x14ac:dyDescent="0.25"/>
    <row r="26" spans="1:9" ht="12.75" customHeight="1" x14ac:dyDescent="0.25"/>
    <row r="27" spans="1:9" ht="12.75" customHeight="1" x14ac:dyDescent="0.25"/>
    <row r="28" spans="1:9" ht="12.75" customHeight="1" x14ac:dyDescent="0.25">
      <c r="B28" s="444">
        <f ca="1">Eingabe1!H2</f>
        <v>44343</v>
      </c>
      <c r="C28" s="436"/>
      <c r="D28" s="436"/>
    </row>
    <row r="29" spans="1:9" ht="12.75" customHeight="1" x14ac:dyDescent="0.25"/>
  </sheetData>
  <mergeCells count="11">
    <mergeCell ref="B28:D28"/>
    <mergeCell ref="A3:E3"/>
    <mergeCell ref="A4:E4"/>
    <mergeCell ref="A5:E5"/>
    <mergeCell ref="A6:E6"/>
    <mergeCell ref="B7:E7"/>
    <mergeCell ref="C23:G23"/>
    <mergeCell ref="C13:D13"/>
    <mergeCell ref="F13:H13"/>
    <mergeCell ref="C14:D14"/>
    <mergeCell ref="E14:F14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E19"/>
  <sheetViews>
    <sheetView workbookViewId="0">
      <selection activeCell="C27" sqref="C27"/>
    </sheetView>
  </sheetViews>
  <sheetFormatPr baseColWidth="10" defaultRowHeight="15" x14ac:dyDescent="0.25"/>
  <cols>
    <col min="1" max="1" width="30.7109375" customWidth="1"/>
    <col min="2" max="3" width="11.42578125" style="44"/>
  </cols>
  <sheetData>
    <row r="1" spans="1:5" x14ac:dyDescent="0.25">
      <c r="B1" s="44" t="s">
        <v>46</v>
      </c>
      <c r="C1" s="44" t="s">
        <v>47</v>
      </c>
    </row>
    <row r="2" spans="1:5" x14ac:dyDescent="0.25">
      <c r="A2" t="s">
        <v>46</v>
      </c>
      <c r="B2" s="44">
        <v>2</v>
      </c>
      <c r="C2" s="44" t="s">
        <v>2</v>
      </c>
      <c r="D2" s="44">
        <v>8</v>
      </c>
      <c r="E2" t="s">
        <v>3</v>
      </c>
    </row>
    <row r="3" spans="1:5" x14ac:dyDescent="0.25">
      <c r="A3" t="s">
        <v>45</v>
      </c>
      <c r="B3" s="44">
        <v>3</v>
      </c>
    </row>
    <row r="5" spans="1:5" x14ac:dyDescent="0.25">
      <c r="A5" t="s">
        <v>43</v>
      </c>
      <c r="B5" s="44">
        <v>3.28</v>
      </c>
      <c r="C5" s="44">
        <v>3</v>
      </c>
    </row>
    <row r="6" spans="1:5" x14ac:dyDescent="0.25">
      <c r="A6" t="s">
        <v>44</v>
      </c>
      <c r="B6" s="44">
        <v>2</v>
      </c>
      <c r="C6" s="44">
        <v>1.5</v>
      </c>
      <c r="D6" s="44">
        <v>0.2</v>
      </c>
      <c r="E6" t="s">
        <v>113</v>
      </c>
    </row>
    <row r="8" spans="1:5" x14ac:dyDescent="0.25">
      <c r="A8" t="s">
        <v>76</v>
      </c>
      <c r="B8" s="44">
        <v>3</v>
      </c>
      <c r="C8" s="44">
        <v>100</v>
      </c>
    </row>
    <row r="9" spans="1:5" x14ac:dyDescent="0.25">
      <c r="A9" t="s">
        <v>77</v>
      </c>
      <c r="B9" s="44">
        <v>15</v>
      </c>
      <c r="C9" s="44">
        <v>30</v>
      </c>
    </row>
    <row r="11" spans="1:5" x14ac:dyDescent="0.25">
      <c r="A11" t="s">
        <v>30</v>
      </c>
      <c r="B11" s="44">
        <v>10</v>
      </c>
      <c r="C11" s="44">
        <v>10</v>
      </c>
    </row>
    <row r="13" spans="1:5" x14ac:dyDescent="0.25">
      <c r="A13" t="s">
        <v>131</v>
      </c>
      <c r="B13" s="16">
        <v>2</v>
      </c>
      <c r="C13" s="80">
        <v>0.05</v>
      </c>
    </row>
    <row r="14" spans="1:5" x14ac:dyDescent="0.25">
      <c r="A14" s="12" t="s">
        <v>130</v>
      </c>
      <c r="B14" s="16">
        <v>10</v>
      </c>
    </row>
    <row r="15" spans="1:5" x14ac:dyDescent="0.25">
      <c r="A15" t="s">
        <v>154</v>
      </c>
      <c r="C15" s="44">
        <v>5</v>
      </c>
      <c r="E15" s="44">
        <v>8</v>
      </c>
    </row>
    <row r="17" spans="1:3" x14ac:dyDescent="0.25">
      <c r="A17" t="s">
        <v>237</v>
      </c>
      <c r="B17" s="337" t="s">
        <v>238</v>
      </c>
      <c r="C17" s="338">
        <v>1.4999999999999999E-2</v>
      </c>
    </row>
    <row r="18" spans="1:3" x14ac:dyDescent="0.25">
      <c r="B18" s="337" t="s">
        <v>239</v>
      </c>
      <c r="C18" s="338">
        <v>0.03</v>
      </c>
    </row>
    <row r="19" spans="1:3" x14ac:dyDescent="0.25">
      <c r="B19" s="337" t="s">
        <v>240</v>
      </c>
      <c r="C19" s="338">
        <v>4.4999999999999998E-2</v>
      </c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1"/>
  <dimension ref="A1:BU150"/>
  <sheetViews>
    <sheetView topLeftCell="AK31" zoomScale="60" zoomScaleNormal="60" workbookViewId="0">
      <selection activeCell="BR64" sqref="BR64"/>
    </sheetView>
  </sheetViews>
  <sheetFormatPr baseColWidth="10" defaultRowHeight="15" x14ac:dyDescent="0.25"/>
  <cols>
    <col min="14" max="14" width="23.5703125" customWidth="1"/>
    <col min="15" max="18" width="3.7109375" style="20" customWidth="1"/>
    <col min="19" max="19" width="7.42578125" customWidth="1"/>
    <col min="20" max="21" width="3.7109375" customWidth="1"/>
    <col min="22" max="23" width="11.42578125" customWidth="1"/>
    <col min="24" max="25" width="13.7109375" customWidth="1"/>
    <col min="26" max="26" width="11.42578125" customWidth="1"/>
    <col min="27" max="27" width="9.85546875" style="83" customWidth="1"/>
    <col min="28" max="28" width="11.42578125" customWidth="1"/>
    <col min="29" max="29" width="5.7109375" style="85" customWidth="1"/>
    <col min="30" max="30" width="6.85546875" customWidth="1"/>
    <col min="31" max="31" width="9.140625" customWidth="1"/>
    <col min="32" max="32" width="8.42578125" style="85" customWidth="1"/>
    <col min="33" max="33" width="11.28515625" customWidth="1"/>
    <col min="34" max="34" width="6.7109375" customWidth="1"/>
    <col min="35" max="35" width="6.85546875" style="85" customWidth="1"/>
    <col min="36" max="36" width="6.85546875" customWidth="1"/>
    <col min="37" max="37" width="11.42578125" customWidth="1"/>
    <col min="38" max="38" width="8.7109375" style="85" customWidth="1"/>
    <col min="39" max="39" width="9.42578125" customWidth="1"/>
    <col min="40" max="40" width="6.85546875" customWidth="1"/>
    <col min="41" max="41" width="6.85546875" style="85" customWidth="1"/>
    <col min="42" max="42" width="11.42578125" customWidth="1"/>
    <col min="43" max="43" width="8.7109375" customWidth="1"/>
    <col min="44" max="44" width="5.7109375" style="85" customWidth="1"/>
    <col min="45" max="46" width="6.85546875" customWidth="1"/>
    <col min="47" max="47" width="11.42578125" style="85" customWidth="1"/>
    <col min="48" max="48" width="8.7109375" customWidth="1"/>
    <col min="49" max="49" width="6.7109375" customWidth="1"/>
    <col min="50" max="50" width="6.85546875" style="85" bestFit="1" customWidth="1"/>
    <col min="51" max="51" width="6.85546875" bestFit="1" customWidth="1"/>
    <col min="53" max="53" width="8.7109375" customWidth="1"/>
    <col min="54" max="54" width="5.7109375" customWidth="1"/>
    <col min="55" max="56" width="6.85546875" bestFit="1" customWidth="1"/>
    <col min="58" max="58" width="8.7109375" customWidth="1"/>
    <col min="59" max="59" width="5.7109375" customWidth="1"/>
    <col min="60" max="61" width="6.85546875" bestFit="1" customWidth="1"/>
    <col min="63" max="63" width="8.7109375" customWidth="1"/>
    <col min="64" max="64" width="8.42578125" bestFit="1" customWidth="1"/>
    <col min="65" max="65" width="6.85546875" bestFit="1" customWidth="1"/>
    <col min="66" max="66" width="7.5703125" style="169" bestFit="1" customWidth="1"/>
  </cols>
  <sheetData>
    <row r="1" spans="3:66" x14ac:dyDescent="0.25">
      <c r="O1" s="318"/>
      <c r="P1" s="318"/>
      <c r="Q1" s="318"/>
      <c r="R1" s="318"/>
      <c r="AA1" s="317"/>
      <c r="BN1" s="316"/>
    </row>
    <row r="2" spans="3:66" x14ac:dyDescent="0.25">
      <c r="O2" s="318"/>
      <c r="P2" s="318"/>
      <c r="Q2" s="318"/>
      <c r="R2" s="318"/>
      <c r="AA2" s="317"/>
      <c r="BN2" s="316"/>
    </row>
    <row r="3" spans="3:66" x14ac:dyDescent="0.25">
      <c r="O3" s="318"/>
      <c r="P3" s="318"/>
      <c r="Q3" s="318"/>
      <c r="R3" s="318"/>
      <c r="AA3" s="317"/>
      <c r="BN3" s="316"/>
    </row>
    <row r="4" spans="3:66" x14ac:dyDescent="0.25">
      <c r="O4" s="318"/>
      <c r="P4" s="318"/>
      <c r="Q4" s="318"/>
      <c r="R4" s="318"/>
      <c r="AA4" s="317"/>
      <c r="BN4" s="316"/>
    </row>
    <row r="5" spans="3:66" x14ac:dyDescent="0.25">
      <c r="O5" s="321"/>
      <c r="P5" s="321"/>
      <c r="Q5" s="321"/>
      <c r="R5" s="321"/>
      <c r="T5" t="s">
        <v>64</v>
      </c>
      <c r="AA5" s="317"/>
      <c r="BN5" s="316"/>
    </row>
    <row r="6" spans="3:66" ht="58.5" x14ac:dyDescent="0.25">
      <c r="O6" s="320" t="s">
        <v>29</v>
      </c>
      <c r="P6" s="320" t="s">
        <v>30</v>
      </c>
      <c r="Q6" s="320" t="s">
        <v>11</v>
      </c>
      <c r="R6" s="322" t="s">
        <v>172</v>
      </c>
      <c r="T6" t="s">
        <v>49</v>
      </c>
      <c r="AA6" s="317"/>
      <c r="BN6" s="316"/>
    </row>
    <row r="7" spans="3:66" ht="34.5" x14ac:dyDescent="0.25">
      <c r="N7" t="s">
        <v>14</v>
      </c>
      <c r="O7" s="320"/>
      <c r="P7" s="320"/>
      <c r="Q7" s="320"/>
      <c r="R7" s="322"/>
      <c r="S7" t="s">
        <v>28</v>
      </c>
      <c r="T7" s="76" t="s">
        <v>62</v>
      </c>
      <c r="U7" s="76" t="s">
        <v>63</v>
      </c>
      <c r="AA7" s="317"/>
      <c r="BN7" s="316"/>
    </row>
    <row r="8" spans="3:66" x14ac:dyDescent="0.25">
      <c r="O8" s="321"/>
      <c r="P8" s="321"/>
      <c r="Q8" s="321"/>
      <c r="R8" s="252"/>
      <c r="Y8" t="s">
        <v>86</v>
      </c>
      <c r="AA8" s="85"/>
      <c r="AB8" t="s">
        <v>87</v>
      </c>
      <c r="AG8" t="s">
        <v>88</v>
      </c>
      <c r="BN8" s="316"/>
    </row>
    <row r="9" spans="3:66" x14ac:dyDescent="0.25">
      <c r="N9" s="33" t="s">
        <v>110</v>
      </c>
      <c r="O9" s="22">
        <v>0</v>
      </c>
      <c r="P9" s="22">
        <v>0</v>
      </c>
      <c r="Q9" s="57"/>
      <c r="R9" s="57"/>
      <c r="S9" s="37">
        <v>1</v>
      </c>
      <c r="T9" s="78">
        <v>0</v>
      </c>
      <c r="U9" s="78">
        <v>4</v>
      </c>
      <c r="X9" t="s">
        <v>52</v>
      </c>
      <c r="Y9" s="64">
        <f>J36</f>
        <v>9.06</v>
      </c>
      <c r="AA9" s="85"/>
      <c r="AB9" s="64">
        <f>K36</f>
        <v>8</v>
      </c>
      <c r="AG9" s="64">
        <f>L36</f>
        <v>8</v>
      </c>
      <c r="BN9" s="316"/>
    </row>
    <row r="10" spans="3:66" x14ac:dyDescent="0.25">
      <c r="N10" s="34" t="s">
        <v>111</v>
      </c>
      <c r="O10" s="22">
        <v>0</v>
      </c>
      <c r="P10" s="22">
        <v>0</v>
      </c>
      <c r="Q10" s="58"/>
      <c r="R10" s="58"/>
      <c r="S10" s="38">
        <v>2</v>
      </c>
      <c r="T10" s="77">
        <v>1</v>
      </c>
      <c r="U10" s="77">
        <v>5</v>
      </c>
      <c r="W10" t="s">
        <v>11</v>
      </c>
      <c r="X10">
        <f>IF(Q37=1,Q36,1)</f>
        <v>1</v>
      </c>
      <c r="Y10" s="61">
        <f>Preise!B3*AC40*X10</f>
        <v>0</v>
      </c>
      <c r="AA10" s="85"/>
      <c r="AB10" s="61">
        <f>Preise!B3*AC40*X10</f>
        <v>0</v>
      </c>
      <c r="AG10" s="61">
        <f>Preise!B3*AC40*X10</f>
        <v>0</v>
      </c>
      <c r="BN10" s="316"/>
    </row>
    <row r="11" spans="3:66" x14ac:dyDescent="0.25">
      <c r="F11" s="435"/>
      <c r="G11" s="435"/>
      <c r="N11" s="35" t="s">
        <v>112</v>
      </c>
      <c r="O11" s="22">
        <v>0</v>
      </c>
      <c r="P11" s="22">
        <v>0</v>
      </c>
      <c r="Q11" s="58">
        <v>1</v>
      </c>
      <c r="R11" s="58"/>
      <c r="S11" s="38">
        <v>4</v>
      </c>
      <c r="T11" s="77">
        <v>3</v>
      </c>
      <c r="U11" s="77">
        <v>9</v>
      </c>
      <c r="W11" t="s">
        <v>43</v>
      </c>
      <c r="Y11" s="46">
        <f>(Preise!B5*S80+Preise!C5*V62*E60/1000)*Q82</f>
        <v>3.0000000000000001E-3</v>
      </c>
      <c r="AA11" s="85"/>
      <c r="AB11" s="46">
        <f>(Preise!B5*S80+Preise!C5*V62*F60/1000)*Q82</f>
        <v>0</v>
      </c>
      <c r="AG11" s="46">
        <f>(Preise!B5*S80+Preise!C5*V62*G60/1000)*Q82</f>
        <v>0</v>
      </c>
    </row>
    <row r="12" spans="3:66" ht="15" customHeight="1" x14ac:dyDescent="0.25">
      <c r="D12" s="11" t="s">
        <v>10</v>
      </c>
      <c r="F12" s="49"/>
      <c r="G12" s="49"/>
      <c r="I12" t="s">
        <v>12</v>
      </c>
      <c r="N12" s="35" t="s">
        <v>138</v>
      </c>
      <c r="O12" s="22">
        <v>0</v>
      </c>
      <c r="P12" s="22">
        <v>0</v>
      </c>
      <c r="Q12" s="58">
        <v>1</v>
      </c>
      <c r="R12" s="58"/>
      <c r="S12" s="38">
        <v>4</v>
      </c>
      <c r="T12" s="77">
        <v>8</v>
      </c>
      <c r="U12" s="77">
        <v>7</v>
      </c>
      <c r="W12" t="s">
        <v>44</v>
      </c>
      <c r="Y12" s="46">
        <f>(Preise!B6+Preise!D6*Rechner!U38+Preise!C6*V62*E60/1000*U38)*U39*X39*Y33</f>
        <v>2.8059999999999996</v>
      </c>
      <c r="AA12" s="85"/>
      <c r="AB12" s="46">
        <f>(Preise!B6+Preise!D6*Rechner!U38+Preise!C6*V62*F60/1000*U38)*U39*X39*AB33</f>
        <v>0</v>
      </c>
      <c r="AG12" s="46">
        <f>(Preise!B6+Preise!D6*Rechner!U38+Preise!C6*V62*G60/1000*U38)*U39*X39*AG33</f>
        <v>0</v>
      </c>
    </row>
    <row r="13" spans="3:66" ht="33.75" customHeight="1" x14ac:dyDescent="0.25">
      <c r="C13" s="6" t="s">
        <v>5</v>
      </c>
      <c r="D13" s="8">
        <f>IF(Rechner!E49=1,Preise!B2,Preise!D2)</f>
        <v>8</v>
      </c>
      <c r="F13" s="7"/>
      <c r="I13" s="13">
        <f>SUM(D13:H13)</f>
        <v>8</v>
      </c>
      <c r="N13" s="35" t="s">
        <v>234</v>
      </c>
      <c r="O13" s="22">
        <v>0</v>
      </c>
      <c r="P13" s="22">
        <v>0</v>
      </c>
      <c r="Q13" s="58">
        <v>1</v>
      </c>
      <c r="R13" s="58"/>
      <c r="S13" s="38">
        <v>6</v>
      </c>
      <c r="T13" s="77">
        <v>5</v>
      </c>
      <c r="U13" s="77">
        <v>20</v>
      </c>
      <c r="AA13" s="85"/>
    </row>
    <row r="14" spans="3:66" x14ac:dyDescent="0.25">
      <c r="I14" s="6"/>
      <c r="N14" s="35" t="s">
        <v>139</v>
      </c>
      <c r="O14" s="22">
        <v>0</v>
      </c>
      <c r="P14" s="22">
        <v>0</v>
      </c>
      <c r="Q14" s="58">
        <v>1</v>
      </c>
      <c r="R14" s="58"/>
      <c r="S14" s="38">
        <v>4</v>
      </c>
      <c r="T14" s="77">
        <v>7</v>
      </c>
      <c r="U14" s="77">
        <v>20</v>
      </c>
      <c r="W14" t="s">
        <v>19</v>
      </c>
      <c r="Y14" s="46">
        <f>J90</f>
        <v>4.9500000000000002E-2</v>
      </c>
      <c r="AA14" s="85"/>
      <c r="AB14" s="46">
        <f>K90</f>
        <v>0</v>
      </c>
      <c r="AG14" s="46">
        <f>L90</f>
        <v>0</v>
      </c>
    </row>
    <row r="15" spans="3:66" x14ac:dyDescent="0.25">
      <c r="D15" s="12"/>
      <c r="N15" s="35" t="s">
        <v>233</v>
      </c>
      <c r="O15" s="22">
        <v>0</v>
      </c>
      <c r="P15" s="22">
        <v>0</v>
      </c>
      <c r="Q15" s="58">
        <v>1</v>
      </c>
      <c r="R15" s="58"/>
      <c r="S15" s="38">
        <v>6</v>
      </c>
      <c r="T15" s="77">
        <v>5</v>
      </c>
      <c r="U15" s="77">
        <v>20</v>
      </c>
      <c r="W15" t="s">
        <v>30</v>
      </c>
      <c r="Y15">
        <f>AB40*(Preise!B11+Preise!C11*Eingabe1!D8/1000)</f>
        <v>0</v>
      </c>
      <c r="AA15" s="85"/>
      <c r="AB15">
        <f>AB40*(Preise!B11+Preise!C11*Eingabe1!M9/1000)</f>
        <v>0</v>
      </c>
      <c r="AG15">
        <f>AB40*(Preise!B11+Preise!C11*Eingabe1!O9/1000)</f>
        <v>0</v>
      </c>
    </row>
    <row r="16" spans="3:66" x14ac:dyDescent="0.25">
      <c r="C16" s="12"/>
      <c r="D16" s="14"/>
      <c r="F16" s="15"/>
      <c r="N16" s="35" t="s">
        <v>140</v>
      </c>
      <c r="O16" s="23">
        <v>0</v>
      </c>
      <c r="P16" s="22">
        <v>0</v>
      </c>
      <c r="Q16" s="58">
        <v>1</v>
      </c>
      <c r="R16" s="58"/>
      <c r="S16" s="38">
        <v>8</v>
      </c>
      <c r="T16" s="77">
        <v>6</v>
      </c>
      <c r="U16" s="77">
        <v>26</v>
      </c>
      <c r="W16" t="s">
        <v>80</v>
      </c>
      <c r="X16">
        <f>Z40*(Preise!B8+Eingabe1!D8/1000*Preise!C8)</f>
        <v>0</v>
      </c>
      <c r="Y16">
        <f>MIN(X16,X17)</f>
        <v>0</v>
      </c>
      <c r="AA16">
        <f>Z40*(Preise!B8+Eingabe1!M9/1000*Preise!C8)</f>
        <v>0</v>
      </c>
      <c r="AB16">
        <f>MIN(AA16,AA17)</f>
        <v>0</v>
      </c>
      <c r="AF16">
        <f>Z40*(Preise!B8+Eingabe1!O9/1000*Preise!C8)</f>
        <v>0</v>
      </c>
      <c r="AG16">
        <f>MIN(AF16,AF17)</f>
        <v>0</v>
      </c>
    </row>
    <row r="17" spans="1:66" x14ac:dyDescent="0.25">
      <c r="N17" s="35" t="s">
        <v>195</v>
      </c>
      <c r="O17" s="23">
        <v>0</v>
      </c>
      <c r="P17" s="22">
        <v>0</v>
      </c>
      <c r="Q17" s="58">
        <v>3</v>
      </c>
      <c r="R17" s="58"/>
      <c r="S17" s="39">
        <v>16</v>
      </c>
      <c r="T17" s="77">
        <v>20</v>
      </c>
      <c r="U17" s="77">
        <v>25</v>
      </c>
      <c r="W17" t="s">
        <v>81</v>
      </c>
      <c r="X17">
        <f>Z40*(Preise!B9+Eingabe1!D8/1000*Preise!C9)</f>
        <v>0</v>
      </c>
      <c r="AA17">
        <f>Z40*(Preise!B9+Eingabe1!M9/1000*Preise!C9)</f>
        <v>0</v>
      </c>
      <c r="AF17">
        <f>Z40*(Preise!B9+Eingabe1!O9/1000*Preise!C9)</f>
        <v>0</v>
      </c>
    </row>
    <row r="18" spans="1:66" x14ac:dyDescent="0.25">
      <c r="D18" s="21"/>
      <c r="F18" s="16"/>
      <c r="I18" s="2"/>
      <c r="N18" s="68" t="s">
        <v>141</v>
      </c>
      <c r="O18" s="22">
        <v>0</v>
      </c>
      <c r="P18" s="22">
        <v>1</v>
      </c>
      <c r="Q18" s="58"/>
      <c r="R18" s="58"/>
      <c r="S18" s="35">
        <v>1</v>
      </c>
      <c r="T18" s="35">
        <v>0</v>
      </c>
      <c r="U18" s="35">
        <v>4</v>
      </c>
      <c r="W18" s="88" t="s">
        <v>249</v>
      </c>
      <c r="X18" s="289"/>
      <c r="Y18" s="377">
        <f>Eingabe1!F18/Rechner!C51</f>
        <v>8.4033613445378155</v>
      </c>
      <c r="Z18" s="88"/>
      <c r="AA18" s="379"/>
      <c r="AB18" s="378">
        <f>Eingabe1!F18/C51</f>
        <v>8.4033613445378155</v>
      </c>
      <c r="AC18" s="102"/>
      <c r="AD18" s="289"/>
      <c r="AE18" s="289"/>
      <c r="AF18" s="379"/>
      <c r="AG18" s="378">
        <f>Eingabe1!F18/C51</f>
        <v>8.4033613445378155</v>
      </c>
    </row>
    <row r="19" spans="1:66" x14ac:dyDescent="0.25">
      <c r="N19" s="68" t="s">
        <v>25</v>
      </c>
      <c r="O19" s="69">
        <v>0</v>
      </c>
      <c r="P19" s="69">
        <v>1</v>
      </c>
      <c r="Q19" s="70"/>
      <c r="R19" s="70"/>
      <c r="S19" s="71">
        <v>1</v>
      </c>
      <c r="T19" s="68">
        <v>0</v>
      </c>
      <c r="U19" s="68">
        <v>4</v>
      </c>
      <c r="W19" s="89" t="s">
        <v>247</v>
      </c>
      <c r="X19" s="5"/>
      <c r="Y19" s="377">
        <f>Eingabe1!F19/Rechner!C51</f>
        <v>0</v>
      </c>
      <c r="AB19" s="378">
        <f>Eingabe1!F19/C51</f>
        <v>0</v>
      </c>
      <c r="AG19" s="378">
        <f>Eingabe1!F19/C51</f>
        <v>0</v>
      </c>
    </row>
    <row r="20" spans="1:66" ht="15" customHeight="1" x14ac:dyDescent="0.25">
      <c r="G20" t="s">
        <v>175</v>
      </c>
      <c r="N20" s="68" t="s">
        <v>26</v>
      </c>
      <c r="O20" s="69">
        <v>0</v>
      </c>
      <c r="P20" s="69">
        <v>1</v>
      </c>
      <c r="Q20" s="70"/>
      <c r="R20" s="70"/>
      <c r="S20" s="71">
        <v>2</v>
      </c>
      <c r="T20" s="68">
        <v>1</v>
      </c>
      <c r="U20" s="68">
        <v>6</v>
      </c>
      <c r="W20" s="92"/>
      <c r="X20" s="273"/>
      <c r="Y20" s="377">
        <f>Eingabe1!F20/Rechner!C51</f>
        <v>0</v>
      </c>
      <c r="AB20" s="378">
        <f>Eingabe1!F20/C51</f>
        <v>0</v>
      </c>
      <c r="AG20" s="378">
        <f>Eingabe1!F20/C51</f>
        <v>0</v>
      </c>
    </row>
    <row r="21" spans="1:66" ht="15" customHeight="1" x14ac:dyDescent="0.25">
      <c r="C21" s="6" t="s">
        <v>6</v>
      </c>
      <c r="E21" s="5"/>
      <c r="G21" s="253">
        <v>0.5</v>
      </c>
      <c r="J21" t="s">
        <v>86</v>
      </c>
      <c r="K21" t="s">
        <v>89</v>
      </c>
      <c r="L21" t="s">
        <v>88</v>
      </c>
      <c r="N21" s="68" t="s">
        <v>229</v>
      </c>
      <c r="O21" s="69">
        <v>0</v>
      </c>
      <c r="P21" s="69">
        <v>1</v>
      </c>
      <c r="Q21" s="70"/>
      <c r="R21" s="70"/>
      <c r="S21" s="38">
        <v>4</v>
      </c>
      <c r="T21" s="77">
        <v>3</v>
      </c>
      <c r="U21" s="77">
        <v>9</v>
      </c>
      <c r="X21" t="s">
        <v>51</v>
      </c>
      <c r="Y21" s="81">
        <f>SUM(Y9:Y20)</f>
        <v>20.321861344537815</v>
      </c>
      <c r="AA21" s="85"/>
      <c r="AB21" s="81">
        <f>SUM(AB9:AB20)</f>
        <v>16.403361344537814</v>
      </c>
      <c r="AG21" s="81">
        <f>SUM(AG9:AG20)</f>
        <v>16.403361344537814</v>
      </c>
    </row>
    <row r="22" spans="1:66" x14ac:dyDescent="0.25">
      <c r="A22" t="s">
        <v>7</v>
      </c>
      <c r="B22" s="88" t="s">
        <v>48</v>
      </c>
      <c r="C22" s="254" t="s">
        <v>173</v>
      </c>
      <c r="D22" s="255" t="s">
        <v>174</v>
      </c>
      <c r="E22" s="88"/>
      <c r="F22" s="254" t="s">
        <v>8</v>
      </c>
      <c r="G22" s="254" t="s">
        <v>172</v>
      </c>
      <c r="H22" s="267" t="s">
        <v>9</v>
      </c>
      <c r="I22" s="31" t="s">
        <v>1</v>
      </c>
      <c r="K22" s="123" t="s">
        <v>124</v>
      </c>
      <c r="N22" s="35" t="s">
        <v>232</v>
      </c>
      <c r="O22" s="22">
        <v>1</v>
      </c>
      <c r="P22" s="22">
        <v>0</v>
      </c>
      <c r="Q22" s="58">
        <v>0</v>
      </c>
      <c r="R22" s="58"/>
      <c r="S22" s="38">
        <v>2</v>
      </c>
      <c r="T22" s="77">
        <v>1</v>
      </c>
      <c r="U22" s="77">
        <v>8</v>
      </c>
      <c r="W22" s="65"/>
      <c r="X22" s="12" t="s">
        <v>67</v>
      </c>
      <c r="Y22" s="5">
        <f>ROUND(Y21*(B51+1),1)</f>
        <v>24.2</v>
      </c>
      <c r="AA22" s="85"/>
      <c r="AB22" s="5">
        <f>ROUND(AB21*(B51+1),1)</f>
        <v>19.5</v>
      </c>
      <c r="AG22" s="5">
        <f>ROUND(AG21*(B51+1),1)</f>
        <v>19.5</v>
      </c>
    </row>
    <row r="23" spans="1:66" x14ac:dyDescent="0.25">
      <c r="A23">
        <v>1</v>
      </c>
      <c r="B23" s="256">
        <v>0.22</v>
      </c>
      <c r="C23" s="257">
        <v>0.5</v>
      </c>
      <c r="D23" s="258">
        <f>(B23+C23)/2</f>
        <v>0.36</v>
      </c>
      <c r="E23" s="89">
        <f>INDEX(B23:D23,G49)</f>
        <v>0.5</v>
      </c>
      <c r="F23" s="48">
        <f>INDEX(Preise!C17:C19,Rechner!F36)</f>
        <v>0.03</v>
      </c>
      <c r="G23" s="5">
        <f>E23*G21*R36</f>
        <v>0</v>
      </c>
      <c r="H23" s="268">
        <f>SUM(E23:G23)</f>
        <v>0.53</v>
      </c>
      <c r="I23" s="46">
        <f>I13</f>
        <v>8</v>
      </c>
      <c r="J23" s="64">
        <f>I23+H23*E57</f>
        <v>9.06</v>
      </c>
      <c r="K23" s="64">
        <f>I23+H23*F57</f>
        <v>8</v>
      </c>
      <c r="L23" s="64">
        <f>I23+H23*G57</f>
        <v>8</v>
      </c>
      <c r="N23" s="35" t="s">
        <v>231</v>
      </c>
      <c r="O23" s="22">
        <v>1</v>
      </c>
      <c r="P23" s="22">
        <v>0</v>
      </c>
      <c r="Q23" s="58">
        <v>0</v>
      </c>
      <c r="R23" s="58"/>
      <c r="S23" s="38">
        <v>2</v>
      </c>
      <c r="T23" s="77">
        <v>1</v>
      </c>
      <c r="U23" s="77">
        <v>8</v>
      </c>
    </row>
    <row r="24" spans="1:66" s="65" customFormat="1" ht="15" customHeight="1" x14ac:dyDescent="0.25">
      <c r="B24" s="259"/>
      <c r="C24" s="260"/>
      <c r="D24" s="98"/>
      <c r="E24" s="269"/>
      <c r="F24" s="260"/>
      <c r="G24" s="270"/>
      <c r="H24" s="271"/>
      <c r="N24" s="35" t="s">
        <v>142</v>
      </c>
      <c r="O24" s="23">
        <v>1</v>
      </c>
      <c r="P24" s="22">
        <v>0</v>
      </c>
      <c r="Q24" s="58">
        <v>0</v>
      </c>
      <c r="R24" s="58"/>
      <c r="S24" s="38">
        <v>2</v>
      </c>
      <c r="T24" s="77">
        <v>1</v>
      </c>
      <c r="U24" s="77">
        <v>8</v>
      </c>
      <c r="AU24" s="86"/>
      <c r="AX24" s="86"/>
      <c r="BN24" s="66"/>
    </row>
    <row r="25" spans="1:66" s="65" customFormat="1" ht="15" customHeight="1" x14ac:dyDescent="0.25">
      <c r="A25" s="65">
        <v>10</v>
      </c>
      <c r="B25" s="261">
        <v>0.15</v>
      </c>
      <c r="C25" s="262">
        <v>0.3</v>
      </c>
      <c r="D25" s="258">
        <f>(B25+C25)/2</f>
        <v>0.22499999999999998</v>
      </c>
      <c r="E25" s="89">
        <f>INDEX(B25:D25,G49)</f>
        <v>0.3</v>
      </c>
      <c r="F25" s="48">
        <f>INDEX(Preise!C17:C19,Rechner!F36)</f>
        <v>0.03</v>
      </c>
      <c r="G25" s="5">
        <f>E25*G21*R36</f>
        <v>0</v>
      </c>
      <c r="H25" s="271">
        <f>SUM(E25:G25)</f>
        <v>0.32999999999999996</v>
      </c>
      <c r="I25" s="65">
        <f>I23+A25*(H23-H25)</f>
        <v>10</v>
      </c>
      <c r="J25" s="64">
        <f>I25+H25*E57</f>
        <v>10.66</v>
      </c>
      <c r="K25" s="64">
        <f>I25+H25*F57</f>
        <v>10</v>
      </c>
      <c r="L25" s="64">
        <f>I25+H25*G57</f>
        <v>10</v>
      </c>
      <c r="N25" s="35" t="s">
        <v>230</v>
      </c>
      <c r="O25" s="23">
        <v>1</v>
      </c>
      <c r="P25" s="22">
        <v>0</v>
      </c>
      <c r="Q25" s="58">
        <v>0</v>
      </c>
      <c r="R25" s="58"/>
      <c r="S25" s="38">
        <v>2</v>
      </c>
      <c r="T25" s="77">
        <v>1</v>
      </c>
      <c r="U25" s="77">
        <v>8</v>
      </c>
      <c r="W25" t="str">
        <f>N147</f>
        <v xml:space="preserve"> </v>
      </c>
      <c r="X25"/>
      <c r="Y25" s="306">
        <f>Eingabe1!F22/Rechner!C51</f>
        <v>0</v>
      </c>
      <c r="Z25"/>
      <c r="AA25" s="85"/>
      <c r="AB25" s="46">
        <f>Eingabe1!F22/Rechner!C51</f>
        <v>0</v>
      </c>
      <c r="AC25" s="85"/>
      <c r="AD25"/>
      <c r="AE25"/>
      <c r="AF25" s="85"/>
      <c r="AG25" s="46">
        <f>Eingabe1!F22/Rechner!C51</f>
        <v>0</v>
      </c>
      <c r="AI25" s="86"/>
      <c r="AL25" s="86"/>
      <c r="AO25" s="86"/>
      <c r="AR25" s="86"/>
      <c r="AU25" s="86"/>
      <c r="AX25" s="86"/>
      <c r="BN25" s="66"/>
    </row>
    <row r="26" spans="1:66" ht="18.75" x14ac:dyDescent="0.25">
      <c r="B26" s="263"/>
      <c r="C26" s="48"/>
      <c r="D26" s="258"/>
      <c r="E26" s="89"/>
      <c r="F26" s="48"/>
      <c r="G26" s="5"/>
      <c r="H26" s="268"/>
      <c r="N26" s="35" t="s">
        <v>143</v>
      </c>
      <c r="O26" s="23">
        <v>1</v>
      </c>
      <c r="P26" s="22">
        <v>0</v>
      </c>
      <c r="Q26" s="58">
        <v>1</v>
      </c>
      <c r="R26" s="58"/>
      <c r="S26" s="38">
        <v>4</v>
      </c>
      <c r="T26" s="77">
        <v>3</v>
      </c>
      <c r="U26" s="77">
        <v>14</v>
      </c>
      <c r="W26" s="65" t="str">
        <f>N149</f>
        <v xml:space="preserve"> </v>
      </c>
      <c r="X26" s="65"/>
      <c r="Y26" s="306">
        <f>Eingabe1!F23/Rechner!C51</f>
        <v>0</v>
      </c>
      <c r="Z26" s="65"/>
      <c r="AA26" s="65"/>
      <c r="AB26" s="46">
        <f>Eingabe1!F23/Rechner!C51</f>
        <v>0</v>
      </c>
      <c r="AC26" s="65"/>
      <c r="AD26" s="65"/>
      <c r="AE26" s="65"/>
      <c r="AF26" s="86"/>
      <c r="AG26" s="46">
        <f>Eingabe1!F23/Rechner!C51</f>
        <v>0</v>
      </c>
    </row>
    <row r="27" spans="1:66" x14ac:dyDescent="0.25">
      <c r="A27">
        <v>50</v>
      </c>
      <c r="B27" s="256">
        <v>0.1</v>
      </c>
      <c r="C27" s="257">
        <v>0.2</v>
      </c>
      <c r="D27" s="258">
        <f>(B27+C27)/2</f>
        <v>0.15000000000000002</v>
      </c>
      <c r="E27" s="89">
        <f>INDEX(B27:D27,G49)</f>
        <v>0.2</v>
      </c>
      <c r="F27" s="48">
        <f>INDEX(Preise!C17:C19,Rechner!F36)</f>
        <v>0.03</v>
      </c>
      <c r="G27" s="5">
        <f>E27*G21*R36</f>
        <v>0</v>
      </c>
      <c r="H27" s="268">
        <f>SUM(E27:G27)</f>
        <v>0.23</v>
      </c>
      <c r="I27">
        <f>I25+A27*(H25-H27)</f>
        <v>14.999999999999996</v>
      </c>
      <c r="J27" s="64">
        <f>I27+H27*E57</f>
        <v>15.459999999999997</v>
      </c>
      <c r="K27" s="64">
        <f>I27+H27*F57</f>
        <v>14.999999999999996</v>
      </c>
      <c r="L27" s="64">
        <f>I27+H27*G57</f>
        <v>14.999999999999996</v>
      </c>
      <c r="N27" s="35" t="s">
        <v>235</v>
      </c>
      <c r="O27" s="23">
        <v>1</v>
      </c>
      <c r="P27" s="22">
        <v>0</v>
      </c>
      <c r="Q27" s="58">
        <v>1</v>
      </c>
      <c r="R27" s="58"/>
      <c r="S27" s="38">
        <v>4</v>
      </c>
      <c r="T27" s="77">
        <v>3</v>
      </c>
      <c r="U27" s="77">
        <v>14</v>
      </c>
      <c r="W27" s="65">
        <f>Eingabe1!C29</f>
        <v>0</v>
      </c>
      <c r="X27" s="65"/>
      <c r="Y27" s="65">
        <f>Eingabe1!G29/C51</f>
        <v>0</v>
      </c>
      <c r="Z27" s="65"/>
      <c r="AA27" s="65"/>
      <c r="AB27" s="65">
        <f>Eingabe1!N29/Rechner!C51</f>
        <v>0</v>
      </c>
      <c r="AC27" s="65"/>
      <c r="AD27" s="65"/>
      <c r="AE27" s="65"/>
      <c r="AF27" s="86"/>
      <c r="AG27" s="65">
        <f>Eingabe1!P29/Rechner!C51</f>
        <v>0</v>
      </c>
    </row>
    <row r="28" spans="1:66" x14ac:dyDescent="0.25">
      <c r="B28" s="263"/>
      <c r="C28" s="48"/>
      <c r="D28" s="258"/>
      <c r="E28" s="89"/>
      <c r="F28" s="48"/>
      <c r="G28" s="5"/>
      <c r="H28" s="268"/>
      <c r="N28" s="35" t="s">
        <v>144</v>
      </c>
      <c r="O28" s="22">
        <v>1</v>
      </c>
      <c r="P28" s="22">
        <v>0</v>
      </c>
      <c r="Q28" s="58">
        <v>1</v>
      </c>
      <c r="R28" s="58"/>
      <c r="S28" s="38">
        <v>2</v>
      </c>
      <c r="T28" s="77">
        <v>4</v>
      </c>
      <c r="U28" s="77">
        <v>8</v>
      </c>
      <c r="W28" t="str">
        <f>Eingabe1!C30</f>
        <v xml:space="preserve"> </v>
      </c>
      <c r="Y28" s="65">
        <f>Eingabe1!G30/C51</f>
        <v>0</v>
      </c>
      <c r="AB28" s="65">
        <f>Eingabe1!N30/Rechner!C51</f>
        <v>0</v>
      </c>
      <c r="AG28" s="65">
        <f>Eingabe1!P30/Rechner!C51</f>
        <v>0</v>
      </c>
    </row>
    <row r="29" spans="1:66" x14ac:dyDescent="0.25">
      <c r="A29">
        <v>100</v>
      </c>
      <c r="B29" s="256">
        <v>0.05</v>
      </c>
      <c r="C29" s="257">
        <v>0.1</v>
      </c>
      <c r="D29" s="258">
        <f>(B29+C29)/2</f>
        <v>7.5000000000000011E-2</v>
      </c>
      <c r="E29" s="89">
        <f>INDEX(B29:D29,G49)</f>
        <v>0.1</v>
      </c>
      <c r="F29" s="48">
        <f>INDEX(Preise!C17:C19,Rechner!F36)</f>
        <v>0.03</v>
      </c>
      <c r="G29" s="5">
        <f>E29*G21*R36</f>
        <v>0</v>
      </c>
      <c r="H29" s="268">
        <f>SUM(E29:G29)</f>
        <v>0.13</v>
      </c>
      <c r="I29">
        <f>I27+A29*(H27-H29)</f>
        <v>24.999999999999996</v>
      </c>
      <c r="J29" s="64">
        <f>I29+H29*E57</f>
        <v>25.259999999999998</v>
      </c>
      <c r="K29" s="64">
        <f>I29+H29*F57</f>
        <v>24.999999999999996</v>
      </c>
      <c r="L29" s="64">
        <f>I29+H29*G57</f>
        <v>24.999999999999996</v>
      </c>
      <c r="N29" s="35" t="s">
        <v>145</v>
      </c>
      <c r="O29" s="22">
        <v>1</v>
      </c>
      <c r="P29" s="22">
        <v>0</v>
      </c>
      <c r="Q29" s="58">
        <v>1</v>
      </c>
      <c r="R29" s="58"/>
      <c r="S29" s="38">
        <v>3</v>
      </c>
      <c r="T29" s="77">
        <v>3</v>
      </c>
      <c r="U29" s="77">
        <v>12</v>
      </c>
      <c r="W29" t="str">
        <f>X147</f>
        <v xml:space="preserve"> </v>
      </c>
      <c r="Y29" s="65">
        <f>Eingabe1!F31</f>
        <v>0</v>
      </c>
      <c r="AB29" s="65">
        <f>Eingabe1!N31/Rechner!C51</f>
        <v>0</v>
      </c>
      <c r="AG29" s="65">
        <f>Eingabe1!P31/Rechner!C51</f>
        <v>0</v>
      </c>
    </row>
    <row r="30" spans="1:66" x14ac:dyDescent="0.25">
      <c r="B30" s="263"/>
      <c r="C30" s="48"/>
      <c r="D30" s="258"/>
      <c r="E30" s="89"/>
      <c r="F30" s="48"/>
      <c r="G30" s="5"/>
      <c r="H30" s="268"/>
      <c r="N30" s="35" t="s">
        <v>146</v>
      </c>
      <c r="O30" s="22">
        <v>1</v>
      </c>
      <c r="P30" s="22">
        <v>0</v>
      </c>
      <c r="Q30" s="58">
        <v>1</v>
      </c>
      <c r="R30" s="58"/>
      <c r="S30" s="38">
        <v>2</v>
      </c>
      <c r="T30" s="77">
        <v>3</v>
      </c>
      <c r="U30" s="77">
        <v>8</v>
      </c>
      <c r="X30" t="s">
        <v>51</v>
      </c>
      <c r="Y30" s="81">
        <f>SUM(Y25:Y29)+Y22/(1+B51)</f>
        <v>20.336134453781511</v>
      </c>
      <c r="AA30" s="85"/>
      <c r="AB30" s="81">
        <f>SUM(AB25:AB29)+AB22/(1+B51)</f>
        <v>16.386554621848742</v>
      </c>
      <c r="AG30" s="81">
        <f>SUM(AG25:AG29)+AG22/(1+B51)</f>
        <v>16.386554621848742</v>
      </c>
      <c r="AS30" t="s">
        <v>54</v>
      </c>
    </row>
    <row r="31" spans="1:66" x14ac:dyDescent="0.25">
      <c r="A31">
        <v>1000</v>
      </c>
      <c r="B31" s="256">
        <v>0.03</v>
      </c>
      <c r="C31" s="257">
        <v>0.08</v>
      </c>
      <c r="D31" s="258">
        <f>(B31+C31)/2</f>
        <v>5.5E-2</v>
      </c>
      <c r="E31" s="89">
        <f>INDEX(B31:D31,G49)</f>
        <v>0.08</v>
      </c>
      <c r="F31" s="48">
        <f>INDEX(Preise!C17:C19,Rechner!F36)</f>
        <v>0.03</v>
      </c>
      <c r="G31" s="5">
        <f>E31*G21*R36</f>
        <v>0</v>
      </c>
      <c r="H31" s="268">
        <f>SUM(E31:G31)</f>
        <v>0.11</v>
      </c>
      <c r="I31">
        <f>I29+A31*(H29-H31)</f>
        <v>45</v>
      </c>
      <c r="J31" s="64">
        <f>I31+H31*E57</f>
        <v>45.22</v>
      </c>
      <c r="K31" s="64">
        <f>I31+H31*F57</f>
        <v>45</v>
      </c>
      <c r="L31" s="64">
        <f>I31+H31*G57</f>
        <v>45</v>
      </c>
      <c r="N31" s="35" t="s">
        <v>236</v>
      </c>
      <c r="O31" s="22">
        <v>1</v>
      </c>
      <c r="P31" s="22">
        <v>0</v>
      </c>
      <c r="Q31" s="58">
        <v>1</v>
      </c>
      <c r="R31" s="58"/>
      <c r="S31" s="38">
        <v>3</v>
      </c>
      <c r="T31" s="77">
        <v>3</v>
      </c>
      <c r="U31" s="77">
        <v>12</v>
      </c>
      <c r="X31" s="12" t="s">
        <v>63</v>
      </c>
      <c r="Y31" s="5">
        <f>Y30*(B51+1)</f>
        <v>24.199999999999996</v>
      </c>
      <c r="AA31" s="85"/>
      <c r="AB31" s="5">
        <f>AB30*(B51+1)</f>
        <v>19.5</v>
      </c>
      <c r="AG31" s="81">
        <f>AG30*(B51+1)</f>
        <v>19.5</v>
      </c>
    </row>
    <row r="32" spans="1:66" x14ac:dyDescent="0.25">
      <c r="B32" s="263"/>
      <c r="C32" s="48"/>
      <c r="D32" s="258"/>
      <c r="E32" s="89"/>
      <c r="F32" s="48"/>
      <c r="G32" s="5"/>
      <c r="H32" s="268"/>
      <c r="N32" s="35"/>
      <c r="O32" s="22">
        <v>0</v>
      </c>
      <c r="P32" s="22">
        <v>0</v>
      </c>
      <c r="Q32" s="58"/>
      <c r="R32" s="58"/>
      <c r="S32" s="35"/>
      <c r="T32" s="35"/>
      <c r="U32" s="35"/>
    </row>
    <row r="33" spans="1:73" x14ac:dyDescent="0.25">
      <c r="A33">
        <v>5000</v>
      </c>
      <c r="B33" s="264">
        <v>0.02</v>
      </c>
      <c r="C33" s="265">
        <v>0.06</v>
      </c>
      <c r="D33" s="266">
        <f>(B33+C33)/2</f>
        <v>0.04</v>
      </c>
      <c r="E33" s="92">
        <f>INDEX(B33:D33,G49)</f>
        <v>0.06</v>
      </c>
      <c r="F33" s="272">
        <f>INDEX(Preise!C17:C19,Rechner!F36)</f>
        <v>0.03</v>
      </c>
      <c r="G33" s="273">
        <f>E33*G21*R36</f>
        <v>0</v>
      </c>
      <c r="H33" s="274">
        <f>SUM(E33:G33)</f>
        <v>0.09</v>
      </c>
      <c r="I33">
        <f>I31+A33*(H31-H33)</f>
        <v>145</v>
      </c>
      <c r="J33" s="64">
        <f>I33+H33*E57</f>
        <v>145.18</v>
      </c>
      <c r="K33" s="64">
        <f>I33+H33*F57</f>
        <v>145</v>
      </c>
      <c r="L33" s="64">
        <f>I33+H33*G57</f>
        <v>145</v>
      </c>
      <c r="N33" s="35" t="s">
        <v>27</v>
      </c>
      <c r="O33" s="22">
        <v>1</v>
      </c>
      <c r="P33" s="22">
        <v>0</v>
      </c>
      <c r="Q33" s="58">
        <v>3</v>
      </c>
      <c r="R33" s="58"/>
      <c r="S33" s="38">
        <v>8</v>
      </c>
      <c r="T33" s="77">
        <v>20</v>
      </c>
      <c r="U33" s="77">
        <v>25</v>
      </c>
      <c r="Y33" s="2">
        <f>IF(Eingabe1!D8="",0,1)</f>
        <v>1</v>
      </c>
      <c r="Z33" s="9" t="s">
        <v>97</v>
      </c>
      <c r="AA33" s="111"/>
      <c r="AB33" s="2">
        <f>IF(Eingabe1!M9="",0,1)</f>
        <v>0</v>
      </c>
      <c r="AE33" s="9"/>
      <c r="AF33" s="111"/>
      <c r="AG33" s="2">
        <f>IF(Eingabe1!O9="",0,1)</f>
        <v>0</v>
      </c>
    </row>
    <row r="34" spans="1:73" x14ac:dyDescent="0.25">
      <c r="N34" s="35" t="s">
        <v>176</v>
      </c>
      <c r="O34" s="22">
        <v>0</v>
      </c>
      <c r="P34" s="22">
        <v>0</v>
      </c>
      <c r="Q34" s="58">
        <v>0</v>
      </c>
      <c r="R34" s="279">
        <v>0.35</v>
      </c>
      <c r="S34" s="35">
        <v>1</v>
      </c>
      <c r="T34" s="35">
        <v>0</v>
      </c>
      <c r="U34" s="35">
        <v>0</v>
      </c>
      <c r="Y34">
        <f>IF(S36=0,0,1)*IF(X80=" ",0,1)</f>
        <v>1</v>
      </c>
      <c r="Z34" t="s">
        <v>61</v>
      </c>
    </row>
    <row r="35" spans="1:73" ht="16.5" x14ac:dyDescent="0.3">
      <c r="N35" s="35" t="str">
        <f>IF(N36=21,AB117,"Eindruck in fertige Karten")</f>
        <v>Eindruck in fertige Karten</v>
      </c>
      <c r="O35" s="22">
        <v>0</v>
      </c>
      <c r="P35" s="22">
        <v>0</v>
      </c>
      <c r="Q35" s="59">
        <v>2</v>
      </c>
      <c r="R35" s="275">
        <v>1</v>
      </c>
      <c r="S35" s="36">
        <v>1</v>
      </c>
      <c r="T35" s="36">
        <v>0</v>
      </c>
      <c r="U35" s="36">
        <v>0</v>
      </c>
      <c r="Y35">
        <f>IF(F53&gt;=1,1,0)</f>
        <v>1</v>
      </c>
      <c r="Z35" t="s">
        <v>245</v>
      </c>
      <c r="AG35" t="s">
        <v>28</v>
      </c>
    </row>
    <row r="36" spans="1:73" ht="16.5" x14ac:dyDescent="0.3">
      <c r="E36" t="s">
        <v>241</v>
      </c>
      <c r="F36">
        <v>2</v>
      </c>
      <c r="J36" s="126">
        <f>MIN(J23,J25,J27,J29,J31,J33)</f>
        <v>9.06</v>
      </c>
      <c r="K36" s="126">
        <f t="shared" ref="K36:L36" si="0">MIN(K23,K25,K27,K29,K31,K33)</f>
        <v>8</v>
      </c>
      <c r="L36" s="126">
        <f t="shared" si="0"/>
        <v>8</v>
      </c>
      <c r="N36" s="2">
        <v>1</v>
      </c>
      <c r="O36" s="22">
        <f>INDEX(O9:O35,N36)</f>
        <v>0</v>
      </c>
      <c r="P36" s="22">
        <f>INDEX(P9:P35,N36)</f>
        <v>0</v>
      </c>
      <c r="Q36" s="22">
        <f>INDEX(Q9:Q35,N36)</f>
        <v>0</v>
      </c>
      <c r="R36" s="276">
        <f>INDEX(R9:R35,N36)</f>
        <v>0</v>
      </c>
      <c r="S36" s="40">
        <f>INDEX(S9:S35,N36)</f>
        <v>1</v>
      </c>
      <c r="T36" s="40">
        <f>INDEX(T9:T35,N36)</f>
        <v>0</v>
      </c>
      <c r="U36" s="40">
        <f>INDEX(U9:U35,N36)</f>
        <v>4</v>
      </c>
      <c r="W36" s="448" t="s">
        <v>83</v>
      </c>
      <c r="X36" s="97" t="str">
        <f>IF(U39=0,"nein","ja")</f>
        <v>ja</v>
      </c>
      <c r="Y36" s="102"/>
      <c r="Z36" s="97" t="str">
        <f>IF(O36=0,"nein","ja")</f>
        <v>nein</v>
      </c>
      <c r="AA36" s="88"/>
      <c r="AB36" s="97" t="str">
        <f>IF(P36=0,"nein","ja")</f>
        <v>nein</v>
      </c>
      <c r="AC36" s="97" t="str">
        <f>IF(Q36=0,"nein","ja")</f>
        <v>nein</v>
      </c>
      <c r="AG36" s="37" t="s">
        <v>243</v>
      </c>
    </row>
    <row r="37" spans="1:73" ht="15.75" thickBot="1" x14ac:dyDescent="0.3">
      <c r="N37" s="5"/>
      <c r="O37" s="62"/>
      <c r="P37" s="62"/>
      <c r="Q37" s="62">
        <f>IF(Q36=0,0,1)</f>
        <v>0</v>
      </c>
      <c r="R37" s="62"/>
      <c r="S37" s="63"/>
      <c r="W37" s="449"/>
      <c r="X37" s="97" t="str">
        <f>IF(U39=1,"nein","ja")</f>
        <v>nein</v>
      </c>
      <c r="Y37" s="103"/>
      <c r="Z37" s="97" t="str">
        <f>IF(O36=1,"nein","ja")</f>
        <v>ja</v>
      </c>
      <c r="AA37" s="89"/>
      <c r="AB37" s="97" t="str">
        <f>IF(P36=1,"nein","ja")</f>
        <v>ja</v>
      </c>
      <c r="AC37" s="97" t="str">
        <f>IF(Q36&gt;=1,"nein","ja")</f>
        <v>ja</v>
      </c>
      <c r="AG37" s="35" t="s">
        <v>242</v>
      </c>
    </row>
    <row r="38" spans="1:73" ht="15.75" thickBot="1" x14ac:dyDescent="0.3">
      <c r="N38" s="5"/>
      <c r="O38" s="62"/>
      <c r="P38" s="62"/>
      <c r="Q38" s="62"/>
      <c r="R38" s="79"/>
      <c r="S38" s="79"/>
      <c r="T38" s="12" t="s">
        <v>65</v>
      </c>
      <c r="U38" s="1">
        <f>T36+(U36-T36)*Q82</f>
        <v>4</v>
      </c>
      <c r="W38" s="449"/>
      <c r="X38" s="100">
        <v>1</v>
      </c>
      <c r="Y38" s="104"/>
      <c r="Z38" s="98">
        <v>1</v>
      </c>
      <c r="AA38" s="89"/>
      <c r="AB38" s="98">
        <v>1</v>
      </c>
      <c r="AC38" s="98">
        <v>1</v>
      </c>
      <c r="AG38" s="2">
        <v>1</v>
      </c>
    </row>
    <row r="39" spans="1:73" ht="15.75" thickBot="1" x14ac:dyDescent="0.3">
      <c r="D39" s="380"/>
      <c r="T39" s="12" t="s">
        <v>66</v>
      </c>
      <c r="U39" s="1">
        <f>IF(U38=0,0,1)</f>
        <v>1</v>
      </c>
      <c r="W39" s="450"/>
      <c r="X39" s="101">
        <f>2-X38</f>
        <v>1</v>
      </c>
      <c r="Y39" s="105"/>
      <c r="Z39" s="99">
        <f>Z38-1</f>
        <v>0</v>
      </c>
      <c r="AA39" s="89"/>
      <c r="AB39" s="99">
        <f>AB38-1</f>
        <v>0</v>
      </c>
      <c r="AC39" s="99">
        <f>AC38-1</f>
        <v>0</v>
      </c>
      <c r="AG39" s="5"/>
      <c r="AX39" s="217"/>
      <c r="AY39" t="s">
        <v>137</v>
      </c>
    </row>
    <row r="40" spans="1:73" ht="15" customHeight="1" x14ac:dyDescent="0.25">
      <c r="H40" s="17"/>
      <c r="Q40" s="451" t="s">
        <v>43</v>
      </c>
      <c r="R40" s="451" t="s">
        <v>44</v>
      </c>
      <c r="S40" s="445" t="s">
        <v>82</v>
      </c>
      <c r="Y40" s="106" t="s">
        <v>29</v>
      </c>
      <c r="Z40" s="3">
        <f>Z39+O36-Z39*O36*2</f>
        <v>0</v>
      </c>
      <c r="AA40" s="92" t="s">
        <v>30</v>
      </c>
      <c r="AB40" s="3">
        <f>AB39+P36-AB39*P36*2</f>
        <v>0</v>
      </c>
      <c r="AC40" s="3">
        <f>AC39+Q37-Q37*AC39*2</f>
        <v>0</v>
      </c>
      <c r="AG40" s="5"/>
    </row>
    <row r="41" spans="1:73" x14ac:dyDescent="0.25">
      <c r="E41" s="48"/>
      <c r="F41" s="6"/>
      <c r="G41" s="6"/>
      <c r="H41" s="6"/>
      <c r="I41" s="6"/>
      <c r="Q41" s="451"/>
      <c r="R41" s="451"/>
      <c r="S41" s="445"/>
      <c r="Y41" s="85"/>
      <c r="AA41"/>
      <c r="AB41" s="85"/>
      <c r="AC41"/>
      <c r="AG41" s="5"/>
      <c r="AX41" s="212"/>
      <c r="AY41" t="s">
        <v>133</v>
      </c>
    </row>
    <row r="42" spans="1:73" x14ac:dyDescent="0.25">
      <c r="E42" s="24"/>
      <c r="F42" s="24"/>
      <c r="G42" s="24"/>
      <c r="H42" s="24"/>
      <c r="I42" s="24"/>
      <c r="Q42" s="451"/>
      <c r="R42" s="451"/>
      <c r="S42" s="445"/>
      <c r="Y42" s="85"/>
      <c r="AA42"/>
      <c r="AB42" s="85"/>
      <c r="AC42"/>
      <c r="AG42" s="5"/>
    </row>
    <row r="43" spans="1:73" x14ac:dyDescent="0.25">
      <c r="E43" s="5"/>
      <c r="Q43" s="451"/>
      <c r="R43" s="451"/>
      <c r="S43" s="445"/>
      <c r="AC43"/>
      <c r="AG43" s="5"/>
    </row>
    <row r="44" spans="1:73" ht="15" customHeight="1" x14ac:dyDescent="0.25">
      <c r="O44" s="452" t="s">
        <v>56</v>
      </c>
      <c r="P44" s="452"/>
      <c r="Q44" s="451"/>
      <c r="R44" s="451"/>
      <c r="S44" s="445"/>
      <c r="V44" s="31"/>
      <c r="AG44" s="5"/>
    </row>
    <row r="45" spans="1:73" ht="20.100000000000001" customHeight="1" thickBot="1" x14ac:dyDescent="0.3">
      <c r="G45" s="28" t="s">
        <v>17</v>
      </c>
      <c r="H45" s="9"/>
      <c r="I45" s="2"/>
      <c r="O45" s="20" t="s">
        <v>4</v>
      </c>
      <c r="P45" s="20" t="s">
        <v>57</v>
      </c>
      <c r="Q45" s="451"/>
      <c r="R45" s="451"/>
      <c r="S45" s="445"/>
      <c r="V45" s="43"/>
      <c r="W45" s="12" t="s">
        <v>74</v>
      </c>
      <c r="AC45" s="84" t="s">
        <v>126</v>
      </c>
      <c r="AD45" s="42"/>
      <c r="AE45" s="87"/>
      <c r="AF45"/>
      <c r="AH45" s="84" t="s">
        <v>31</v>
      </c>
      <c r="AI45" s="42"/>
      <c r="AJ45" s="87"/>
      <c r="AL45"/>
      <c r="AM45" s="42" t="s">
        <v>32</v>
      </c>
      <c r="AN45" s="42"/>
      <c r="AO45" s="87"/>
      <c r="AP45" s="85"/>
      <c r="AR45" s="41" t="s">
        <v>33</v>
      </c>
      <c r="AS45" s="42"/>
      <c r="AT45" s="87"/>
      <c r="AU45"/>
      <c r="AV45" s="85"/>
      <c r="AW45" s="41" t="s">
        <v>34</v>
      </c>
      <c r="AX45" s="42"/>
      <c r="AY45" s="87"/>
      <c r="BB45" s="41" t="s">
        <v>35</v>
      </c>
      <c r="BC45" s="42"/>
      <c r="BD45" s="87"/>
      <c r="BE45" s="85"/>
      <c r="BG45" s="41" t="s">
        <v>36</v>
      </c>
      <c r="BH45" s="42"/>
      <c r="BI45" s="87"/>
      <c r="BL45" s="41" t="s">
        <v>37</v>
      </c>
      <c r="BM45" s="42"/>
      <c r="BN45" s="182"/>
      <c r="BQ45" s="41" t="s">
        <v>38</v>
      </c>
      <c r="BR45" s="42"/>
      <c r="BS45" s="87"/>
    </row>
    <row r="46" spans="1:73" ht="15.75" x14ac:dyDescent="0.25">
      <c r="B46" s="118">
        <v>0.19</v>
      </c>
      <c r="C46" s="381"/>
      <c r="E46" s="26" t="s">
        <v>2</v>
      </c>
      <c r="G46" s="28" t="s">
        <v>73</v>
      </c>
      <c r="H46" s="9"/>
      <c r="I46" s="2"/>
      <c r="N46" s="2" t="s">
        <v>254</v>
      </c>
      <c r="O46" s="20" t="s">
        <v>54</v>
      </c>
      <c r="P46" s="20" t="s">
        <v>59</v>
      </c>
      <c r="S46" s="82"/>
      <c r="V46">
        <v>1.1000000000000001</v>
      </c>
      <c r="W46">
        <v>70</v>
      </c>
      <c r="X46" s="130" t="str">
        <f>AC80</f>
        <v xml:space="preserve"> </v>
      </c>
      <c r="Y46" s="173">
        <f>AE81</f>
        <v>0</v>
      </c>
      <c r="Z46">
        <f>AF81</f>
        <v>0</v>
      </c>
      <c r="AA46" s="83">
        <f>AG81</f>
        <v>0</v>
      </c>
      <c r="AC46" s="133" t="s">
        <v>54</v>
      </c>
      <c r="AD46" s="186"/>
      <c r="AE46" s="135"/>
      <c r="AF46" s="158"/>
      <c r="AG46" s="159"/>
      <c r="AH46" s="327" t="s">
        <v>31</v>
      </c>
      <c r="AI46" s="134">
        <v>11.4</v>
      </c>
      <c r="AJ46" s="190">
        <v>0.5</v>
      </c>
      <c r="AK46" s="191">
        <v>0.4</v>
      </c>
      <c r="AL46" s="190">
        <v>0.3</v>
      </c>
      <c r="AM46" s="145" t="s">
        <v>54</v>
      </c>
      <c r="AN46" s="146"/>
      <c r="AO46" s="185"/>
      <c r="AP46" s="147"/>
      <c r="AQ46" s="175">
        <v>0.3</v>
      </c>
      <c r="AR46" s="174" t="s">
        <v>54</v>
      </c>
      <c r="AS46" s="146"/>
      <c r="AT46" s="174"/>
      <c r="AU46" s="143"/>
      <c r="AV46" s="157">
        <v>0.3</v>
      </c>
      <c r="AW46" s="153" t="s">
        <v>54</v>
      </c>
      <c r="AX46" s="146"/>
      <c r="AY46" s="174"/>
      <c r="AZ46" s="143"/>
      <c r="BA46" s="175"/>
      <c r="BB46" s="174" t="s">
        <v>54</v>
      </c>
      <c r="BC46" s="146"/>
      <c r="BD46" s="174"/>
      <c r="BE46" s="147"/>
      <c r="BF46" s="157"/>
      <c r="BG46" s="153" t="s">
        <v>54</v>
      </c>
      <c r="BH46" s="146"/>
      <c r="BI46" s="177"/>
      <c r="BJ46" s="158"/>
      <c r="BK46" s="175"/>
      <c r="BL46" s="174" t="s">
        <v>54</v>
      </c>
      <c r="BM46" s="146"/>
      <c r="BN46" s="157"/>
      <c r="BO46" s="179"/>
      <c r="BP46" s="174"/>
      <c r="BQ46" s="153" t="s">
        <v>54</v>
      </c>
      <c r="BR46" s="146"/>
      <c r="BS46" s="177"/>
      <c r="BT46" s="158"/>
      <c r="BU46" s="175">
        <v>0.3</v>
      </c>
    </row>
    <row r="47" spans="1:73" ht="15.75" x14ac:dyDescent="0.25">
      <c r="B47" s="118">
        <v>7.0000000000000007E-2</v>
      </c>
      <c r="C47" s="381"/>
      <c r="E47" s="26" t="s">
        <v>3</v>
      </c>
      <c r="G47" s="446" t="str">
        <f>IF(E49=2,"4/1 farbig,Skala/schw."," ")</f>
        <v>4/1 farbig,Skala/schw.</v>
      </c>
      <c r="H47" s="447"/>
      <c r="I47" s="2"/>
      <c r="N47" s="2" t="s">
        <v>255</v>
      </c>
      <c r="O47" s="20" t="s">
        <v>58</v>
      </c>
      <c r="P47" s="246" t="s">
        <v>58</v>
      </c>
      <c r="S47" s="82"/>
      <c r="V47">
        <v>1</v>
      </c>
      <c r="W47">
        <v>80</v>
      </c>
      <c r="X47" s="82" t="str">
        <f>AH80</f>
        <v>80 g/qm</v>
      </c>
      <c r="Y47">
        <f>AJ81</f>
        <v>16.5</v>
      </c>
      <c r="Z47" s="173">
        <f t="shared" ref="Z47:AA47" si="1">AK81</f>
        <v>15.399999999999999</v>
      </c>
      <c r="AA47">
        <f t="shared" si="1"/>
        <v>14.3</v>
      </c>
      <c r="AC47" s="136" t="s">
        <v>54</v>
      </c>
      <c r="AD47" s="187"/>
      <c r="AE47" s="91"/>
      <c r="AF47" s="160"/>
      <c r="AG47" s="161"/>
      <c r="AH47" s="323" t="s">
        <v>31</v>
      </c>
      <c r="AI47" s="94">
        <v>7.2</v>
      </c>
      <c r="AJ47" s="202">
        <v>1</v>
      </c>
      <c r="AK47" s="201">
        <v>0.7</v>
      </c>
      <c r="AL47" s="329">
        <v>0.4</v>
      </c>
      <c r="AM47" s="148" t="s">
        <v>32</v>
      </c>
      <c r="AN47" s="94">
        <v>8</v>
      </c>
      <c r="AO47" s="329">
        <v>1</v>
      </c>
      <c r="AP47" s="201">
        <v>0.7</v>
      </c>
      <c r="AQ47" s="330">
        <v>0.4</v>
      </c>
      <c r="AR47" s="5" t="s">
        <v>33</v>
      </c>
      <c r="AS47" s="94">
        <v>8.9</v>
      </c>
      <c r="AT47" s="202">
        <v>1</v>
      </c>
      <c r="AU47" s="201">
        <v>0.7</v>
      </c>
      <c r="AV47" s="329">
        <v>0.4</v>
      </c>
      <c r="AW47" s="149" t="s">
        <v>34</v>
      </c>
      <c r="AX47" s="211">
        <v>13.65</v>
      </c>
      <c r="AY47" s="329">
        <v>1</v>
      </c>
      <c r="AZ47" s="201">
        <v>0.7</v>
      </c>
      <c r="BA47" s="330">
        <v>0.4</v>
      </c>
      <c r="BB47" s="5" t="s">
        <v>75</v>
      </c>
      <c r="BC47" s="94">
        <v>18.2</v>
      </c>
      <c r="BD47" s="202">
        <v>1</v>
      </c>
      <c r="BE47" s="201">
        <v>0.7</v>
      </c>
      <c r="BF47" s="329">
        <v>0.4</v>
      </c>
      <c r="BG47" s="149" t="s">
        <v>54</v>
      </c>
      <c r="BH47" s="90"/>
      <c r="BI47" s="48"/>
      <c r="BJ47" s="160"/>
      <c r="BK47" s="176"/>
      <c r="BL47" s="5" t="s">
        <v>54</v>
      </c>
      <c r="BM47" s="90"/>
      <c r="BN47" s="156"/>
      <c r="BO47" s="180"/>
      <c r="BP47" s="5"/>
      <c r="BQ47" s="149" t="s">
        <v>54</v>
      </c>
      <c r="BR47" s="90"/>
      <c r="BS47" s="48"/>
      <c r="BT47" s="160"/>
      <c r="BU47" s="176">
        <f>BU46</f>
        <v>0.3</v>
      </c>
    </row>
    <row r="48" spans="1:73" ht="15.75" x14ac:dyDescent="0.25">
      <c r="B48" s="119"/>
      <c r="N48" s="2" t="s">
        <v>256</v>
      </c>
      <c r="O48" s="20" t="s">
        <v>54</v>
      </c>
      <c r="P48" s="20" t="s">
        <v>59</v>
      </c>
      <c r="S48" s="82"/>
      <c r="V48">
        <v>1.125</v>
      </c>
      <c r="W48">
        <v>90</v>
      </c>
      <c r="X48" s="82" t="str">
        <f>AM80</f>
        <v>90 g/qm</v>
      </c>
      <c r="Y48">
        <f>AO81</f>
        <v>19.950000000000003</v>
      </c>
      <c r="Z48" s="173">
        <f t="shared" ref="Z48:AA48" si="2">AP81</f>
        <v>18.62</v>
      </c>
      <c r="AA48" s="173">
        <f t="shared" si="2"/>
        <v>17.290000000000003</v>
      </c>
      <c r="AC48" s="136" t="s">
        <v>54</v>
      </c>
      <c r="AD48" s="187"/>
      <c r="AE48" s="91"/>
      <c r="AF48" s="160"/>
      <c r="AG48" s="161"/>
      <c r="AH48" s="323" t="s">
        <v>31</v>
      </c>
      <c r="AI48" s="94">
        <v>16</v>
      </c>
      <c r="AJ48" s="202">
        <v>1</v>
      </c>
      <c r="AK48" s="201">
        <v>0.7</v>
      </c>
      <c r="AL48" s="329">
        <v>0.4</v>
      </c>
      <c r="AM48" s="148" t="s">
        <v>32</v>
      </c>
      <c r="AN48" s="94">
        <v>17.899999999999999</v>
      </c>
      <c r="AO48" s="329">
        <v>1</v>
      </c>
      <c r="AP48" s="201">
        <v>0.7</v>
      </c>
      <c r="AQ48" s="330">
        <v>0.4</v>
      </c>
      <c r="AR48" s="5" t="s">
        <v>54</v>
      </c>
      <c r="AS48" s="90"/>
      <c r="AT48" s="5"/>
      <c r="AU48" s="35"/>
      <c r="AV48" s="156"/>
      <c r="AW48" s="149" t="s">
        <v>54</v>
      </c>
      <c r="AX48" s="90"/>
      <c r="AY48" s="5"/>
      <c r="AZ48" s="35"/>
      <c r="BA48" s="176"/>
      <c r="BB48" s="5" t="s">
        <v>54</v>
      </c>
      <c r="BC48" s="90"/>
      <c r="BD48" s="5"/>
      <c r="BE48" s="144"/>
      <c r="BF48" s="156"/>
      <c r="BG48" s="149" t="s">
        <v>54</v>
      </c>
      <c r="BH48" s="90"/>
      <c r="BI48" s="48"/>
      <c r="BJ48" s="160"/>
      <c r="BK48" s="176"/>
      <c r="BL48" s="5" t="s">
        <v>54</v>
      </c>
      <c r="BM48" s="90"/>
      <c r="BN48" s="156"/>
      <c r="BO48" s="180"/>
      <c r="BP48" s="5"/>
      <c r="BQ48" s="149" t="s">
        <v>54</v>
      </c>
      <c r="BR48" s="90"/>
      <c r="BS48" s="48"/>
      <c r="BT48" s="160"/>
      <c r="BU48" s="176">
        <f t="shared" ref="BU48:BU49" si="3">BU47</f>
        <v>0.3</v>
      </c>
    </row>
    <row r="49" spans="2:73" ht="15.75" thickBot="1" x14ac:dyDescent="0.3">
      <c r="B49">
        <v>1</v>
      </c>
      <c r="E49">
        <v>2</v>
      </c>
      <c r="G49">
        <v>2</v>
      </c>
      <c r="N49" s="2" t="s">
        <v>257</v>
      </c>
      <c r="O49" s="128" t="s">
        <v>58</v>
      </c>
      <c r="P49" s="246" t="s">
        <v>58</v>
      </c>
      <c r="Q49" s="128"/>
      <c r="R49" s="128"/>
      <c r="S49" s="127"/>
      <c r="V49">
        <v>1.25</v>
      </c>
      <c r="W49">
        <v>100</v>
      </c>
      <c r="X49" s="82" t="str">
        <f>AR80</f>
        <v>100 g/qm</v>
      </c>
      <c r="Y49">
        <f>AT81</f>
        <v>22.125</v>
      </c>
      <c r="Z49">
        <f t="shared" ref="Z49:AA49" si="4">AU81</f>
        <v>20.65</v>
      </c>
      <c r="AA49">
        <f t="shared" si="4"/>
        <v>19.175000000000001</v>
      </c>
      <c r="AC49" s="138" t="s">
        <v>54</v>
      </c>
      <c r="AD49" s="187"/>
      <c r="AE49" s="132"/>
      <c r="AF49" s="160"/>
      <c r="AG49" s="161"/>
      <c r="AH49" s="291" t="s">
        <v>31</v>
      </c>
      <c r="AI49" s="94">
        <v>5.85</v>
      </c>
      <c r="AJ49" s="202">
        <v>1</v>
      </c>
      <c r="AK49" s="201">
        <v>0.7</v>
      </c>
      <c r="AL49" s="329">
        <v>0.4</v>
      </c>
      <c r="AM49" s="149" t="s">
        <v>54</v>
      </c>
      <c r="AN49" s="90"/>
      <c r="AO49" s="81"/>
      <c r="AP49" s="144"/>
      <c r="AQ49" s="176"/>
      <c r="AR49" s="5" t="s">
        <v>54</v>
      </c>
      <c r="AS49" s="90"/>
      <c r="AT49" s="5"/>
      <c r="AU49" s="35"/>
      <c r="AV49" s="156"/>
      <c r="AW49" s="149" t="s">
        <v>54</v>
      </c>
      <c r="AX49" s="90"/>
      <c r="AY49" s="5"/>
      <c r="AZ49" s="35"/>
      <c r="BA49" s="176"/>
      <c r="BB49" s="5" t="s">
        <v>54</v>
      </c>
      <c r="BC49" s="90"/>
      <c r="BD49" s="5"/>
      <c r="BE49" s="144"/>
      <c r="BF49" s="156"/>
      <c r="BG49" s="149" t="s">
        <v>54</v>
      </c>
      <c r="BH49" s="90"/>
      <c r="BI49" s="48"/>
      <c r="BJ49" s="160"/>
      <c r="BK49" s="176"/>
      <c r="BL49" s="5" t="s">
        <v>54</v>
      </c>
      <c r="BM49" s="90"/>
      <c r="BO49" s="180"/>
      <c r="BP49" s="156"/>
      <c r="BQ49" s="149" t="s">
        <v>54</v>
      </c>
      <c r="BR49" s="90"/>
      <c r="BS49" s="48"/>
      <c r="BT49" s="160"/>
      <c r="BU49" s="176">
        <f t="shared" si="3"/>
        <v>0.3</v>
      </c>
    </row>
    <row r="50" spans="2:73" ht="15.75" x14ac:dyDescent="0.25">
      <c r="B50" s="119"/>
      <c r="N50" s="324" t="s">
        <v>258</v>
      </c>
      <c r="O50" s="318" t="s">
        <v>54</v>
      </c>
      <c r="P50" s="318" t="s">
        <v>59</v>
      </c>
      <c r="Q50" s="318"/>
      <c r="R50" s="318"/>
      <c r="S50" s="316"/>
      <c r="V50">
        <v>1.5</v>
      </c>
      <c r="W50">
        <v>120</v>
      </c>
      <c r="X50" s="127" t="str">
        <f>AW80</f>
        <v>120 g/qm</v>
      </c>
      <c r="Y50" s="173">
        <f>AY81</f>
        <v>26.625</v>
      </c>
      <c r="Z50" s="173">
        <f t="shared" ref="Z50:AA50" si="5">AZ81</f>
        <v>24.849999999999998</v>
      </c>
      <c r="AA50" s="173">
        <f t="shared" si="5"/>
        <v>23.074999999999999</v>
      </c>
      <c r="AC50" s="172"/>
      <c r="AD50" s="5"/>
      <c r="AE50" s="5"/>
      <c r="AF50" s="131"/>
      <c r="AG50" s="137"/>
      <c r="AH50" s="327" t="s">
        <v>31</v>
      </c>
      <c r="AI50" s="134">
        <v>9.1</v>
      </c>
      <c r="AJ50" s="190">
        <v>0.5</v>
      </c>
      <c r="AK50" s="191">
        <v>0.4</v>
      </c>
      <c r="AL50" s="190">
        <v>0.3</v>
      </c>
      <c r="AM50" s="149"/>
      <c r="AN50" s="5"/>
      <c r="AO50" s="131"/>
      <c r="AP50" s="5"/>
      <c r="AQ50" s="137"/>
      <c r="AU50" s="144"/>
      <c r="AW50" s="149"/>
      <c r="AX50" s="131"/>
      <c r="AY50" s="5"/>
      <c r="AZ50" s="35"/>
      <c r="BA50" s="137"/>
      <c r="BE50" s="35"/>
      <c r="BG50" s="149"/>
      <c r="BH50" s="5"/>
      <c r="BI50" s="5"/>
      <c r="BJ50" s="35"/>
      <c r="BK50" s="137"/>
      <c r="BO50" s="35"/>
      <c r="BQ50" s="149"/>
      <c r="BR50" s="5"/>
      <c r="BS50" s="5"/>
      <c r="BT50" s="35"/>
      <c r="BU50" s="137"/>
    </row>
    <row r="51" spans="2:73" ht="15.75" x14ac:dyDescent="0.25">
      <c r="B51" s="120">
        <f>INDEX(B46:B47,B49)</f>
        <v>0.19</v>
      </c>
      <c r="C51" s="382">
        <f>B51+1</f>
        <v>1.19</v>
      </c>
      <c r="D51" s="12" t="s">
        <v>14</v>
      </c>
      <c r="E51" s="18">
        <f>1/S36</f>
        <v>1</v>
      </c>
      <c r="N51" s="2" t="s">
        <v>259</v>
      </c>
      <c r="O51" s="20" t="s">
        <v>54</v>
      </c>
      <c r="P51" s="20" t="s">
        <v>54</v>
      </c>
      <c r="Q51" s="20">
        <v>1</v>
      </c>
      <c r="R51" s="20">
        <v>1</v>
      </c>
      <c r="S51" s="82"/>
      <c r="V51">
        <v>2</v>
      </c>
      <c r="W51">
        <v>160</v>
      </c>
      <c r="X51" s="82" t="str">
        <f>BB80</f>
        <v>160 g/m</v>
      </c>
      <c r="Y51">
        <f>BD81</f>
        <v>46.5</v>
      </c>
      <c r="Z51">
        <f t="shared" ref="Z51:AA51" si="6">BE81</f>
        <v>43.4</v>
      </c>
      <c r="AA51" s="173">
        <f t="shared" si="6"/>
        <v>40.300000000000004</v>
      </c>
      <c r="AC51" s="136" t="s">
        <v>54</v>
      </c>
      <c r="AD51" s="187"/>
      <c r="AE51" s="91"/>
      <c r="AF51" s="160"/>
      <c r="AG51" s="161"/>
      <c r="AH51" s="323" t="s">
        <v>31</v>
      </c>
      <c r="AI51" s="94">
        <v>11</v>
      </c>
      <c r="AJ51" s="192">
        <v>0.5</v>
      </c>
      <c r="AK51" s="193">
        <v>0.4</v>
      </c>
      <c r="AL51" s="192">
        <v>0.3</v>
      </c>
      <c r="AM51" s="148" t="s">
        <v>32</v>
      </c>
      <c r="AN51" s="94">
        <v>13.3</v>
      </c>
      <c r="AO51" s="192">
        <v>0.5</v>
      </c>
      <c r="AP51" s="193">
        <v>0.4</v>
      </c>
      <c r="AQ51" s="194">
        <v>0.3</v>
      </c>
      <c r="AR51" s="5" t="s">
        <v>33</v>
      </c>
      <c r="AS51" s="94">
        <v>14.75</v>
      </c>
      <c r="AT51" s="192">
        <v>0.5</v>
      </c>
      <c r="AU51" s="193">
        <v>0.4</v>
      </c>
      <c r="AV51" s="192">
        <v>0.3</v>
      </c>
      <c r="AW51" s="149" t="s">
        <v>34</v>
      </c>
      <c r="AX51" s="93">
        <v>17.75</v>
      </c>
      <c r="AY51" s="192">
        <v>0.5</v>
      </c>
      <c r="AZ51" s="193">
        <v>0.4</v>
      </c>
      <c r="BA51" s="194">
        <v>0.3</v>
      </c>
      <c r="BB51" s="5" t="s">
        <v>75</v>
      </c>
      <c r="BC51" s="94">
        <v>31</v>
      </c>
      <c r="BD51" s="192">
        <v>0.5</v>
      </c>
      <c r="BE51" s="193">
        <v>0.4</v>
      </c>
      <c r="BF51" s="192">
        <v>0.3</v>
      </c>
      <c r="BG51" s="149" t="s">
        <v>54</v>
      </c>
      <c r="BH51" s="90"/>
      <c r="BI51" s="48"/>
      <c r="BJ51" s="160"/>
      <c r="BK51" s="176">
        <f>BK64</f>
        <v>0.4</v>
      </c>
      <c r="BL51" s="5" t="s">
        <v>37</v>
      </c>
      <c r="BM51" s="94">
        <v>52.25</v>
      </c>
      <c r="BN51" s="192">
        <v>0.5</v>
      </c>
      <c r="BO51" s="193">
        <v>0.4</v>
      </c>
      <c r="BP51" s="192">
        <v>0.3</v>
      </c>
      <c r="BQ51" s="149" t="s">
        <v>38</v>
      </c>
      <c r="BR51" s="94">
        <v>76.2</v>
      </c>
      <c r="BS51" s="329">
        <v>1</v>
      </c>
      <c r="BT51" s="201">
        <v>0.7</v>
      </c>
      <c r="BU51" s="330">
        <v>0.4</v>
      </c>
    </row>
    <row r="52" spans="2:73" ht="15.75" x14ac:dyDescent="0.25">
      <c r="B52" s="119"/>
      <c r="D52" s="12" t="s">
        <v>13</v>
      </c>
      <c r="E52" s="6">
        <f>O81</f>
        <v>1</v>
      </c>
      <c r="V52">
        <v>2.5</v>
      </c>
      <c r="W52">
        <v>200</v>
      </c>
      <c r="X52" s="82" t="str">
        <f>BG80</f>
        <v xml:space="preserve"> </v>
      </c>
      <c r="Y52">
        <f>BI81</f>
        <v>0</v>
      </c>
      <c r="Z52">
        <f t="shared" ref="Z52:AA52" si="7">BJ81</f>
        <v>0</v>
      </c>
      <c r="AA52" s="173">
        <f t="shared" si="7"/>
        <v>0</v>
      </c>
      <c r="AC52" s="172"/>
      <c r="AD52" s="5"/>
      <c r="AE52" s="5"/>
      <c r="AF52" s="131"/>
      <c r="AG52" s="137"/>
      <c r="AM52" s="149"/>
      <c r="AN52" s="5"/>
      <c r="AO52" s="131"/>
      <c r="AP52" s="5"/>
      <c r="AQ52" s="137"/>
      <c r="AU52" s="144"/>
      <c r="AW52" s="149"/>
      <c r="AX52" s="131"/>
      <c r="AY52" s="5"/>
      <c r="AZ52" s="35"/>
      <c r="BA52" s="137"/>
      <c r="BE52" s="35"/>
      <c r="BG52" s="149"/>
      <c r="BH52" s="5"/>
      <c r="BI52" s="5"/>
      <c r="BJ52" s="35"/>
      <c r="BK52" s="137"/>
      <c r="BO52" s="35"/>
      <c r="BQ52" s="149"/>
      <c r="BR52" s="5"/>
      <c r="BS52" s="5"/>
      <c r="BT52" s="5"/>
      <c r="BU52" s="137"/>
    </row>
    <row r="53" spans="2:73" ht="15.75" x14ac:dyDescent="0.25">
      <c r="B53" s="119"/>
      <c r="D53" s="12" t="s">
        <v>244</v>
      </c>
      <c r="E53" s="335">
        <f>AG38</f>
        <v>1</v>
      </c>
      <c r="F53">
        <f>S36/(O81*E53)</f>
        <v>1</v>
      </c>
      <c r="G53" t="s">
        <v>28</v>
      </c>
      <c r="N53" s="2" t="s">
        <v>209</v>
      </c>
      <c r="O53" s="318" t="s">
        <v>54</v>
      </c>
      <c r="P53" s="318" t="s">
        <v>54</v>
      </c>
      <c r="Q53" s="318">
        <v>1</v>
      </c>
      <c r="R53" s="318">
        <v>1</v>
      </c>
      <c r="S53" s="316">
        <v>1</v>
      </c>
      <c r="V53">
        <v>3.125</v>
      </c>
      <c r="W53">
        <v>250</v>
      </c>
      <c r="X53" s="82" t="str">
        <f>BL80</f>
        <v>250 g/qm</v>
      </c>
      <c r="Y53">
        <f>BN81</f>
        <v>78.375</v>
      </c>
      <c r="Z53" s="173">
        <f t="shared" ref="Z53:AA53" si="8">BO81</f>
        <v>73.149999999999991</v>
      </c>
      <c r="AA53">
        <f t="shared" si="8"/>
        <v>67.924999999999997</v>
      </c>
      <c r="AC53" s="138" t="s">
        <v>32</v>
      </c>
      <c r="AD53" s="170">
        <v>19</v>
      </c>
      <c r="AE53" s="192">
        <v>0.5</v>
      </c>
      <c r="AF53" s="193">
        <v>0.4</v>
      </c>
      <c r="AG53" s="194">
        <v>0.3</v>
      </c>
      <c r="AH53" s="324" t="s">
        <v>33</v>
      </c>
      <c r="AI53" s="170">
        <v>21</v>
      </c>
      <c r="AJ53" s="192">
        <v>0.5</v>
      </c>
      <c r="AK53" s="193">
        <v>0.4</v>
      </c>
      <c r="AL53" s="192">
        <v>0.3</v>
      </c>
      <c r="AM53" s="150" t="s">
        <v>122</v>
      </c>
      <c r="AN53" s="170">
        <v>24.2</v>
      </c>
      <c r="AO53" s="192">
        <v>0.5</v>
      </c>
      <c r="AP53" s="193">
        <v>0.4</v>
      </c>
      <c r="AQ53" s="194">
        <v>0.3</v>
      </c>
      <c r="AR53" s="324" t="s">
        <v>129</v>
      </c>
      <c r="AS53" s="107">
        <v>28.2</v>
      </c>
      <c r="AT53" s="192">
        <v>0.5</v>
      </c>
      <c r="AU53" s="193">
        <v>0.4</v>
      </c>
      <c r="AV53" s="192">
        <v>0.3</v>
      </c>
      <c r="AW53" s="150" t="s">
        <v>35</v>
      </c>
      <c r="AX53" s="170">
        <v>31.3</v>
      </c>
      <c r="AY53" s="192">
        <v>0.5</v>
      </c>
      <c r="AZ53" s="193">
        <v>0.4</v>
      </c>
      <c r="BA53" s="194">
        <v>0.3</v>
      </c>
      <c r="BB53" s="324" t="s">
        <v>36</v>
      </c>
      <c r="BC53" s="170">
        <v>35.5</v>
      </c>
      <c r="BD53" s="192">
        <v>0.5</v>
      </c>
      <c r="BE53" s="193">
        <v>0.4</v>
      </c>
      <c r="BF53" s="192">
        <v>0.3</v>
      </c>
      <c r="BG53" s="150" t="s">
        <v>37</v>
      </c>
      <c r="BH53" s="170">
        <v>52.2</v>
      </c>
      <c r="BI53" s="192">
        <v>0.5</v>
      </c>
      <c r="BJ53" s="193">
        <v>0.4</v>
      </c>
      <c r="BK53" s="194">
        <v>0.3</v>
      </c>
      <c r="BL53" s="5" t="s">
        <v>38</v>
      </c>
      <c r="BM53" s="170">
        <v>73</v>
      </c>
      <c r="BN53" s="329">
        <v>1</v>
      </c>
      <c r="BO53" s="201">
        <v>0.7</v>
      </c>
      <c r="BP53" s="330">
        <v>0.4</v>
      </c>
      <c r="BQ53" s="149" t="s">
        <v>208</v>
      </c>
      <c r="BR53" s="170">
        <v>85</v>
      </c>
      <c r="BS53" s="213">
        <v>1.5</v>
      </c>
      <c r="BT53" s="220">
        <v>1</v>
      </c>
      <c r="BU53" s="215">
        <v>0.5</v>
      </c>
    </row>
    <row r="54" spans="2:73" ht="15.75" x14ac:dyDescent="0.25">
      <c r="B54" s="119"/>
      <c r="D54" s="47" t="s">
        <v>12</v>
      </c>
      <c r="E54" s="19">
        <f>E49*E51*E52*E53</f>
        <v>2</v>
      </c>
      <c r="G54" s="47"/>
      <c r="N54" s="2" t="s">
        <v>210</v>
      </c>
      <c r="O54" s="20" t="s">
        <v>54</v>
      </c>
      <c r="P54" s="20" t="s">
        <v>54</v>
      </c>
      <c r="Q54" s="20">
        <v>1</v>
      </c>
      <c r="R54" s="20">
        <v>1</v>
      </c>
      <c r="S54" s="130">
        <v>1</v>
      </c>
      <c r="V54">
        <v>3.75</v>
      </c>
      <c r="W54">
        <v>300</v>
      </c>
      <c r="X54" s="82" t="str">
        <f>BQ80</f>
        <v>300 g/qm</v>
      </c>
      <c r="Y54">
        <f>BS81</f>
        <v>152.4</v>
      </c>
      <c r="Z54" s="173">
        <f t="shared" ref="Z54:AA54" si="9">BT81</f>
        <v>129.54</v>
      </c>
      <c r="AA54">
        <f t="shared" si="9"/>
        <v>106.67999999999999</v>
      </c>
      <c r="AC54" s="138" t="s">
        <v>32</v>
      </c>
      <c r="AD54" s="170">
        <v>19</v>
      </c>
      <c r="AE54" s="192">
        <v>0.5</v>
      </c>
      <c r="AF54" s="193">
        <v>0.4</v>
      </c>
      <c r="AG54" s="194">
        <v>0.3</v>
      </c>
      <c r="AH54" s="324" t="s">
        <v>33</v>
      </c>
      <c r="AI54" s="170">
        <v>21</v>
      </c>
      <c r="AJ54" s="192">
        <v>0.5</v>
      </c>
      <c r="AK54" s="193">
        <v>0.4</v>
      </c>
      <c r="AL54" s="192">
        <v>0.3</v>
      </c>
      <c r="AM54" s="150" t="s">
        <v>122</v>
      </c>
      <c r="AN54" s="170">
        <v>24.2</v>
      </c>
      <c r="AO54" s="192">
        <v>0.5</v>
      </c>
      <c r="AP54" s="193">
        <v>0.4</v>
      </c>
      <c r="AQ54" s="194">
        <v>0.3</v>
      </c>
      <c r="AR54" s="324" t="s">
        <v>129</v>
      </c>
      <c r="AS54" s="107">
        <v>28.2</v>
      </c>
      <c r="AT54" s="192">
        <v>0.5</v>
      </c>
      <c r="AU54" s="193">
        <v>0.4</v>
      </c>
      <c r="AV54" s="192">
        <v>0.3</v>
      </c>
      <c r="AW54" s="150" t="s">
        <v>35</v>
      </c>
      <c r="AX54" s="170">
        <v>31.3</v>
      </c>
      <c r="AY54" s="192">
        <v>0.5</v>
      </c>
      <c r="AZ54" s="193">
        <v>0.4</v>
      </c>
      <c r="BA54" s="194">
        <v>0.3</v>
      </c>
      <c r="BB54" s="324" t="s">
        <v>36</v>
      </c>
      <c r="BC54" s="170">
        <v>35.5</v>
      </c>
      <c r="BD54" s="192">
        <v>0.5</v>
      </c>
      <c r="BE54" s="193">
        <v>0.4</v>
      </c>
      <c r="BF54" s="192">
        <v>0.3</v>
      </c>
      <c r="BG54" s="150" t="s">
        <v>37</v>
      </c>
      <c r="BH54" s="170">
        <v>52.2</v>
      </c>
      <c r="BI54" s="192">
        <v>0.5</v>
      </c>
      <c r="BJ54" s="193">
        <v>0.4</v>
      </c>
      <c r="BK54" s="194">
        <v>0.3</v>
      </c>
      <c r="BL54" s="5" t="s">
        <v>38</v>
      </c>
      <c r="BM54" s="170">
        <v>73</v>
      </c>
      <c r="BN54" s="329">
        <v>1</v>
      </c>
      <c r="BO54" s="201">
        <v>0.7</v>
      </c>
      <c r="BP54" s="330">
        <v>0.4</v>
      </c>
      <c r="BQ54" s="149" t="s">
        <v>208</v>
      </c>
      <c r="BR54" s="170">
        <v>85</v>
      </c>
      <c r="BS54" s="213">
        <v>1.5</v>
      </c>
      <c r="BT54" s="220">
        <v>1</v>
      </c>
      <c r="BU54" s="215">
        <v>0.5</v>
      </c>
    </row>
    <row r="55" spans="2:73" ht="15.75" x14ac:dyDescent="0.25">
      <c r="B55" s="119"/>
      <c r="N55" s="2" t="s">
        <v>260</v>
      </c>
      <c r="O55" s="20" t="s">
        <v>54</v>
      </c>
      <c r="P55" s="20" t="s">
        <v>54</v>
      </c>
      <c r="Q55" s="20">
        <v>1</v>
      </c>
      <c r="R55" s="20">
        <v>1</v>
      </c>
      <c r="S55" s="82"/>
      <c r="AC55" s="136" t="s">
        <v>54</v>
      </c>
      <c r="AD55" s="187"/>
      <c r="AE55" s="91"/>
      <c r="AF55" s="160"/>
      <c r="AG55" s="161"/>
      <c r="AH55" s="323" t="s">
        <v>54</v>
      </c>
      <c r="AI55" s="62"/>
      <c r="AJ55" s="5"/>
      <c r="AK55" s="160"/>
      <c r="AL55" s="156"/>
      <c r="AM55" s="149" t="s">
        <v>54</v>
      </c>
      <c r="AN55" s="90"/>
      <c r="AO55" s="81"/>
      <c r="AP55" s="144"/>
      <c r="AQ55" s="176">
        <f>AQ67</f>
        <v>0.5</v>
      </c>
      <c r="AR55" s="5" t="s">
        <v>54</v>
      </c>
      <c r="AS55" s="90"/>
      <c r="AT55" s="5"/>
      <c r="AU55" s="35"/>
      <c r="AV55" s="156">
        <f>AV67</f>
        <v>0.5</v>
      </c>
      <c r="AW55" s="149" t="s">
        <v>54</v>
      </c>
      <c r="AX55" s="90"/>
      <c r="AY55" s="5"/>
      <c r="AZ55" s="35"/>
      <c r="BA55" s="176">
        <f>BA67</f>
        <v>0.5</v>
      </c>
      <c r="BB55" s="5" t="s">
        <v>54</v>
      </c>
      <c r="BC55" s="90"/>
      <c r="BD55" s="5"/>
      <c r="BE55" s="144"/>
      <c r="BF55" s="156">
        <f>BF67</f>
        <v>0.5</v>
      </c>
      <c r="BG55" s="149" t="s">
        <v>54</v>
      </c>
      <c r="BH55" s="90"/>
      <c r="BI55" s="48"/>
      <c r="BJ55" s="160"/>
      <c r="BK55" s="176">
        <f>BK67</f>
        <v>0.5</v>
      </c>
      <c r="BL55" s="5" t="s">
        <v>78</v>
      </c>
      <c r="BM55" s="94">
        <v>101.75</v>
      </c>
      <c r="BN55" s="192">
        <v>0.5</v>
      </c>
      <c r="BO55" s="193">
        <v>0.4</v>
      </c>
      <c r="BP55" s="192">
        <v>0.3</v>
      </c>
      <c r="BQ55" s="149" t="s">
        <v>79</v>
      </c>
      <c r="BR55" s="94">
        <v>113</v>
      </c>
      <c r="BS55" s="329">
        <v>1</v>
      </c>
      <c r="BT55" s="201">
        <v>0.7</v>
      </c>
      <c r="BU55" s="330">
        <v>0.4</v>
      </c>
    </row>
    <row r="56" spans="2:73" ht="16.5" thickBot="1" x14ac:dyDescent="0.3">
      <c r="B56" s="119"/>
      <c r="E56" t="s">
        <v>86</v>
      </c>
      <c r="F56" t="s">
        <v>89</v>
      </c>
      <c r="G56" t="s">
        <v>88</v>
      </c>
      <c r="N56" s="324" t="s">
        <v>211</v>
      </c>
      <c r="O56" s="318" t="s">
        <v>54</v>
      </c>
      <c r="P56" s="318" t="s">
        <v>54</v>
      </c>
      <c r="Q56" s="318">
        <v>1</v>
      </c>
      <c r="R56" s="318">
        <v>1</v>
      </c>
      <c r="S56" s="316">
        <v>1</v>
      </c>
      <c r="AC56" s="172" t="s">
        <v>54</v>
      </c>
      <c r="AD56" s="5"/>
      <c r="AE56" s="5"/>
      <c r="AF56" s="131"/>
      <c r="AG56" s="137"/>
      <c r="AH56" s="324" t="s">
        <v>54</v>
      </c>
      <c r="AM56" s="150" t="s">
        <v>54</v>
      </c>
      <c r="AN56" s="5"/>
      <c r="AO56" s="131"/>
      <c r="AP56" s="35"/>
      <c r="AQ56" s="137"/>
      <c r="AR56" s="85" t="s">
        <v>54</v>
      </c>
      <c r="AU56" s="144"/>
      <c r="AW56" s="150" t="s">
        <v>54</v>
      </c>
      <c r="AX56" s="131"/>
      <c r="AY56" s="5"/>
      <c r="AZ56" s="35"/>
      <c r="BA56" s="137"/>
      <c r="BB56" s="324" t="s">
        <v>54</v>
      </c>
      <c r="BE56" s="35"/>
      <c r="BG56" s="150" t="s">
        <v>54</v>
      </c>
      <c r="BH56" s="5"/>
      <c r="BI56" s="5"/>
      <c r="BJ56" s="35"/>
      <c r="BK56" s="137"/>
      <c r="BL56" s="324" t="s">
        <v>54</v>
      </c>
      <c r="BO56" s="35"/>
      <c r="BQ56" s="149" t="s">
        <v>79</v>
      </c>
      <c r="BR56" s="94">
        <v>140</v>
      </c>
      <c r="BS56" s="329">
        <v>1</v>
      </c>
      <c r="BT56" s="201">
        <v>0.7</v>
      </c>
      <c r="BU56" s="330">
        <v>0.4</v>
      </c>
    </row>
    <row r="57" spans="2:73" x14ac:dyDescent="0.25">
      <c r="C57" s="204" t="s">
        <v>125</v>
      </c>
      <c r="D57" s="205" t="s">
        <v>62</v>
      </c>
      <c r="E57" s="206">
        <f>Eingabe1!D8*E54</f>
        <v>2</v>
      </c>
      <c r="F57" s="207">
        <f>Eingabe1!M9*E54</f>
        <v>0</v>
      </c>
      <c r="G57" s="208">
        <f>Eingabe1!O9*E54</f>
        <v>0</v>
      </c>
      <c r="N57" s="2" t="s">
        <v>21</v>
      </c>
      <c r="O57" s="20" t="s">
        <v>54</v>
      </c>
      <c r="P57" s="20" t="s">
        <v>54</v>
      </c>
      <c r="Q57" s="20">
        <v>1</v>
      </c>
      <c r="R57" s="20">
        <v>1</v>
      </c>
      <c r="S57" s="82">
        <v>1</v>
      </c>
      <c r="AC57" s="136" t="s">
        <v>54</v>
      </c>
      <c r="AD57" s="187"/>
      <c r="AE57" s="91"/>
      <c r="AF57" s="160"/>
      <c r="AG57" s="161"/>
      <c r="AH57" s="323" t="s">
        <v>31</v>
      </c>
      <c r="AI57" s="94">
        <v>19</v>
      </c>
      <c r="AJ57" s="202">
        <v>1</v>
      </c>
      <c r="AK57" s="201">
        <v>0.7</v>
      </c>
      <c r="AL57" s="329">
        <v>0.4</v>
      </c>
      <c r="AM57" s="148" t="s">
        <v>32</v>
      </c>
      <c r="AN57" s="94">
        <v>24.35</v>
      </c>
      <c r="AO57" s="329">
        <v>1</v>
      </c>
      <c r="AP57" s="201">
        <v>0.7</v>
      </c>
      <c r="AQ57" s="330">
        <v>0.4</v>
      </c>
      <c r="AR57" s="5" t="s">
        <v>33</v>
      </c>
      <c r="AS57" s="94">
        <v>27.4</v>
      </c>
      <c r="AT57" s="202">
        <v>1</v>
      </c>
      <c r="AU57" s="201">
        <v>0.7</v>
      </c>
      <c r="AV57" s="329">
        <v>0.4</v>
      </c>
      <c r="AW57" s="149" t="s">
        <v>34</v>
      </c>
      <c r="AX57" s="94">
        <v>33.4</v>
      </c>
      <c r="AY57" s="329">
        <v>1</v>
      </c>
      <c r="AZ57" s="201">
        <v>0.7</v>
      </c>
      <c r="BA57" s="330">
        <v>0.4</v>
      </c>
      <c r="BB57" s="5" t="s">
        <v>115</v>
      </c>
      <c r="BC57" s="94">
        <v>57.5</v>
      </c>
      <c r="BD57" s="202">
        <v>1</v>
      </c>
      <c r="BE57" s="201">
        <v>0.7</v>
      </c>
      <c r="BF57" s="329">
        <v>0.4</v>
      </c>
      <c r="BG57" s="149" t="s">
        <v>116</v>
      </c>
      <c r="BH57" s="94">
        <v>89.1</v>
      </c>
      <c r="BI57" s="329">
        <v>1</v>
      </c>
      <c r="BJ57" s="201">
        <v>0.7</v>
      </c>
      <c r="BK57" s="330">
        <v>0.4</v>
      </c>
      <c r="BL57" s="5" t="s">
        <v>37</v>
      </c>
      <c r="BM57" s="94">
        <v>91</v>
      </c>
      <c r="BN57" s="202">
        <v>1</v>
      </c>
      <c r="BO57" s="201">
        <v>0.7</v>
      </c>
      <c r="BP57" s="329">
        <v>0.4</v>
      </c>
      <c r="BQ57" s="149" t="s">
        <v>38</v>
      </c>
      <c r="BR57" s="94">
        <v>100</v>
      </c>
      <c r="BS57" s="213">
        <v>1.5</v>
      </c>
      <c r="BT57" s="220">
        <v>1</v>
      </c>
      <c r="BU57" s="215">
        <v>0.5</v>
      </c>
    </row>
    <row r="58" spans="2:73" x14ac:dyDescent="0.25">
      <c r="C58" s="149"/>
      <c r="D58" s="203" t="s">
        <v>50</v>
      </c>
      <c r="E58" s="166">
        <f>MIN(E57,Preise!B14)</f>
        <v>2</v>
      </c>
      <c r="F58" s="166">
        <f>MIN(F57,Preise!B14)</f>
        <v>0</v>
      </c>
      <c r="G58" s="166">
        <f>MIN(G57,Preise!B14)</f>
        <v>0</v>
      </c>
      <c r="N58" s="171" t="s">
        <v>213</v>
      </c>
      <c r="O58" s="318" t="s">
        <v>54</v>
      </c>
      <c r="P58" s="318" t="s">
        <v>54</v>
      </c>
      <c r="Q58" s="318">
        <v>1</v>
      </c>
      <c r="R58" s="318">
        <v>1</v>
      </c>
      <c r="S58" s="316">
        <v>1</v>
      </c>
      <c r="AC58" s="136" t="s">
        <v>127</v>
      </c>
      <c r="AD58" s="94">
        <v>12.6</v>
      </c>
      <c r="AE58" s="192">
        <v>0.5</v>
      </c>
      <c r="AF58" s="193">
        <v>0.4</v>
      </c>
      <c r="AG58" s="194">
        <v>0.3</v>
      </c>
      <c r="AH58" s="323" t="s">
        <v>31</v>
      </c>
      <c r="AI58" s="94">
        <v>14.5</v>
      </c>
      <c r="AJ58" s="192">
        <v>0.5</v>
      </c>
      <c r="AK58" s="193">
        <v>0.4</v>
      </c>
      <c r="AL58" s="192">
        <v>0.3</v>
      </c>
      <c r="AM58" s="148" t="s">
        <v>32</v>
      </c>
      <c r="AN58" s="94">
        <v>16.3</v>
      </c>
      <c r="AO58" s="192">
        <v>0.5</v>
      </c>
      <c r="AP58" s="193">
        <v>0.4</v>
      </c>
      <c r="AQ58" s="194">
        <v>0.3</v>
      </c>
      <c r="AR58" s="5" t="s">
        <v>33</v>
      </c>
      <c r="AS58" s="94">
        <v>18.100000000000001</v>
      </c>
      <c r="AT58" s="192">
        <v>0.5</v>
      </c>
      <c r="AU58" s="193">
        <v>0.4</v>
      </c>
      <c r="AV58" s="192">
        <v>0.3</v>
      </c>
      <c r="AW58" s="149" t="s">
        <v>122</v>
      </c>
      <c r="AX58" s="94">
        <v>20.8</v>
      </c>
      <c r="AY58" s="192">
        <v>0.5</v>
      </c>
      <c r="AZ58" s="193">
        <v>0.4</v>
      </c>
      <c r="BA58" s="194">
        <v>0.3</v>
      </c>
      <c r="BB58" s="324" t="s">
        <v>35</v>
      </c>
      <c r="BC58" s="94">
        <v>27.15</v>
      </c>
      <c r="BD58" s="192">
        <v>0.5</v>
      </c>
      <c r="BE58" s="193">
        <v>0.4</v>
      </c>
      <c r="BF58" s="192">
        <v>0.3</v>
      </c>
      <c r="BG58" s="150" t="s">
        <v>36</v>
      </c>
      <c r="BH58" s="94">
        <v>30.8</v>
      </c>
      <c r="BI58" s="192">
        <v>0.5</v>
      </c>
      <c r="BJ58" s="193">
        <v>0.4</v>
      </c>
      <c r="BK58" s="194">
        <v>0.3</v>
      </c>
      <c r="BL58" s="324" t="s">
        <v>37</v>
      </c>
      <c r="BM58" s="94">
        <v>52.3</v>
      </c>
      <c r="BN58" s="192">
        <v>0.5</v>
      </c>
      <c r="BO58" s="193">
        <v>0.4</v>
      </c>
      <c r="BP58" s="192">
        <v>0.3</v>
      </c>
      <c r="BQ58" s="149" t="s">
        <v>54</v>
      </c>
      <c r="BR58" s="90"/>
      <c r="BS58" s="195"/>
      <c r="BT58" s="196"/>
      <c r="BU58" s="197"/>
    </row>
    <row r="59" spans="2:73" ht="15.75" thickBot="1" x14ac:dyDescent="0.3">
      <c r="C59" s="151"/>
      <c r="D59" s="209" t="s">
        <v>132</v>
      </c>
      <c r="E59" s="209">
        <f>CEILING((E57+E58)*(1+Preise!C13),1)</f>
        <v>5</v>
      </c>
      <c r="F59" s="209">
        <f>CEILING((F57+F58)*(1+Preise!C13),1)</f>
        <v>0</v>
      </c>
      <c r="G59" s="209">
        <f>CEILING((G57+G58)*(1+Preise!C13),1)</f>
        <v>0</v>
      </c>
      <c r="N59" s="334" t="s">
        <v>212</v>
      </c>
      <c r="O59" s="20" t="s">
        <v>54</v>
      </c>
      <c r="P59" s="20" t="s">
        <v>54</v>
      </c>
      <c r="Q59" s="20">
        <v>1</v>
      </c>
      <c r="R59" s="20">
        <v>1</v>
      </c>
      <c r="S59" s="130">
        <v>1</v>
      </c>
      <c r="AC59" s="136" t="s">
        <v>54</v>
      </c>
      <c r="AD59" s="35"/>
      <c r="AE59" s="131"/>
      <c r="AF59" s="35"/>
      <c r="AG59" s="137"/>
      <c r="AH59" s="5" t="s">
        <v>33</v>
      </c>
      <c r="AI59" s="94">
        <v>18.100000000000001</v>
      </c>
      <c r="AJ59" s="192">
        <v>0.5</v>
      </c>
      <c r="AK59" s="193">
        <v>0.4</v>
      </c>
      <c r="AL59" s="192">
        <v>0.3</v>
      </c>
      <c r="AM59" s="149" t="s">
        <v>122</v>
      </c>
      <c r="AN59" s="94">
        <v>20.8</v>
      </c>
      <c r="AO59" s="192">
        <v>0.5</v>
      </c>
      <c r="AP59" s="193">
        <v>0.4</v>
      </c>
      <c r="AQ59" s="194">
        <v>0.3</v>
      </c>
      <c r="AR59" s="324" t="s">
        <v>129</v>
      </c>
      <c r="AS59" s="325">
        <v>24.5</v>
      </c>
      <c r="AT59" s="192">
        <v>0.5</v>
      </c>
      <c r="AU59" s="193">
        <v>0.4</v>
      </c>
      <c r="AV59" s="192">
        <v>0.3</v>
      </c>
      <c r="AW59" s="150" t="s">
        <v>35</v>
      </c>
      <c r="AX59" s="94">
        <v>27.15</v>
      </c>
      <c r="AY59" s="192">
        <v>0.5</v>
      </c>
      <c r="AZ59" s="193">
        <v>0.4</v>
      </c>
      <c r="BA59" s="194">
        <v>0.3</v>
      </c>
      <c r="BB59" s="324" t="s">
        <v>36</v>
      </c>
      <c r="BC59" s="94">
        <v>30.8</v>
      </c>
      <c r="BD59" s="192">
        <v>0.5</v>
      </c>
      <c r="BE59" s="193">
        <v>0.4</v>
      </c>
      <c r="BF59" s="192">
        <v>0.3</v>
      </c>
      <c r="BG59" s="150" t="s">
        <v>116</v>
      </c>
      <c r="BH59" s="325">
        <v>42</v>
      </c>
      <c r="BI59" s="192">
        <v>0.5</v>
      </c>
      <c r="BJ59" s="193">
        <v>0.4</v>
      </c>
      <c r="BK59" s="194">
        <v>0.3</v>
      </c>
      <c r="BL59" s="324" t="s">
        <v>37</v>
      </c>
      <c r="BM59" s="94">
        <v>52.3</v>
      </c>
      <c r="BN59" s="192">
        <v>0.5</v>
      </c>
      <c r="BO59" s="193">
        <v>0.4</v>
      </c>
      <c r="BP59" s="192">
        <v>0.3</v>
      </c>
      <c r="BQ59" s="150" t="s">
        <v>38</v>
      </c>
      <c r="BR59" s="325">
        <v>63</v>
      </c>
      <c r="BS59" s="329">
        <v>1</v>
      </c>
      <c r="BT59" s="201">
        <v>0.7</v>
      </c>
      <c r="BU59" s="330">
        <v>0.4</v>
      </c>
    </row>
    <row r="60" spans="2:73" x14ac:dyDescent="0.25">
      <c r="C60" s="210" t="s">
        <v>19</v>
      </c>
      <c r="D60" s="205" t="s">
        <v>62</v>
      </c>
      <c r="E60" s="207">
        <f>Eingabe1!D8/S36</f>
        <v>1</v>
      </c>
      <c r="F60" s="207">
        <f>Eingabe1!M9/S36</f>
        <v>0</v>
      </c>
      <c r="G60" s="208">
        <f>Eingabe1!O9/S36</f>
        <v>0</v>
      </c>
      <c r="N60" s="389" t="s">
        <v>214</v>
      </c>
      <c r="O60" s="20" t="s">
        <v>54</v>
      </c>
      <c r="P60" s="20" t="s">
        <v>54</v>
      </c>
      <c r="Q60" s="20">
        <v>1</v>
      </c>
      <c r="R60" s="20">
        <v>1</v>
      </c>
      <c r="S60" s="319">
        <v>1</v>
      </c>
      <c r="AC60" s="172" t="s">
        <v>54</v>
      </c>
      <c r="AD60" s="89"/>
      <c r="AE60" s="35"/>
      <c r="AF60" s="132"/>
      <c r="AG60" s="137"/>
      <c r="AH60" s="323" t="s">
        <v>31</v>
      </c>
      <c r="AI60" s="94">
        <v>14</v>
      </c>
      <c r="AJ60" s="202">
        <v>1</v>
      </c>
      <c r="AK60" s="201">
        <v>0.7</v>
      </c>
      <c r="AL60" s="329">
        <v>0.4</v>
      </c>
      <c r="AM60" s="150" t="s">
        <v>54</v>
      </c>
      <c r="AN60" s="5"/>
      <c r="AO60" s="131"/>
      <c r="AP60" s="5"/>
      <c r="AQ60" s="137"/>
      <c r="AR60" s="5" t="s">
        <v>34</v>
      </c>
      <c r="AS60" s="325">
        <v>25</v>
      </c>
      <c r="AT60" s="202">
        <v>1</v>
      </c>
      <c r="AU60" s="201">
        <v>0.7</v>
      </c>
      <c r="AV60" s="329">
        <v>0.4</v>
      </c>
      <c r="AW60" s="150" t="s">
        <v>54</v>
      </c>
      <c r="AX60" s="131"/>
      <c r="AY60" s="5"/>
      <c r="AZ60" s="35"/>
      <c r="BA60" s="137"/>
      <c r="BB60" s="5" t="s">
        <v>116</v>
      </c>
      <c r="BC60" s="94">
        <v>48</v>
      </c>
      <c r="BD60" s="202">
        <v>1</v>
      </c>
      <c r="BE60" s="201">
        <v>0.7</v>
      </c>
      <c r="BF60" s="329">
        <v>0.4</v>
      </c>
      <c r="BG60" s="150" t="s">
        <v>54</v>
      </c>
      <c r="BH60" s="5"/>
      <c r="BI60" s="5"/>
      <c r="BJ60" s="35"/>
      <c r="BK60" s="137"/>
      <c r="BL60" s="324" t="s">
        <v>38</v>
      </c>
      <c r="BM60" s="94">
        <v>82</v>
      </c>
      <c r="BN60" s="213">
        <v>1.5</v>
      </c>
      <c r="BO60" s="220">
        <v>1</v>
      </c>
      <c r="BP60" s="213">
        <v>0.5</v>
      </c>
      <c r="BQ60" s="150" t="s">
        <v>208</v>
      </c>
      <c r="BR60" s="94">
        <v>95</v>
      </c>
      <c r="BS60" s="213">
        <v>1.5</v>
      </c>
      <c r="BT60" s="220">
        <v>1</v>
      </c>
      <c r="BU60" s="215">
        <v>0.5</v>
      </c>
    </row>
    <row r="61" spans="2:73" x14ac:dyDescent="0.25">
      <c r="C61" s="149"/>
      <c r="D61" s="203" t="s">
        <v>50</v>
      </c>
      <c r="E61" s="166">
        <f>MIN(E60,Preise!B14)</f>
        <v>1</v>
      </c>
      <c r="F61" s="166">
        <f>MIN(F60,Preise!B14)</f>
        <v>0</v>
      </c>
      <c r="G61" s="166">
        <f>MIN(G60,Preise!B14)</f>
        <v>0</v>
      </c>
      <c r="N61" s="2" t="s">
        <v>217</v>
      </c>
      <c r="O61" s="20" t="s">
        <v>54</v>
      </c>
      <c r="P61" s="20" t="s">
        <v>54</v>
      </c>
      <c r="Q61" s="20">
        <v>1</v>
      </c>
      <c r="R61" s="20">
        <v>1</v>
      </c>
      <c r="S61" s="82">
        <v>1</v>
      </c>
      <c r="AC61" s="138" t="s">
        <v>54</v>
      </c>
      <c r="AD61" s="89"/>
      <c r="AE61" s="144"/>
      <c r="AF61" s="258"/>
      <c r="AG61" s="137"/>
      <c r="AH61" s="131" t="s">
        <v>54</v>
      </c>
      <c r="AI61" s="5"/>
      <c r="AJ61" s="5"/>
      <c r="AK61" s="144"/>
      <c r="AL61" s="5"/>
      <c r="AM61" s="149" t="s">
        <v>32</v>
      </c>
      <c r="AN61" s="94">
        <v>90</v>
      </c>
      <c r="AO61" s="213">
        <v>1.5</v>
      </c>
      <c r="AP61" s="220">
        <v>1</v>
      </c>
      <c r="AQ61" s="215">
        <v>0.5</v>
      </c>
      <c r="AR61" s="5" t="s">
        <v>33</v>
      </c>
      <c r="AS61" s="94">
        <v>100</v>
      </c>
      <c r="AT61" s="213">
        <v>1.5</v>
      </c>
      <c r="AU61" s="220">
        <v>1</v>
      </c>
      <c r="AV61" s="213">
        <v>0.5</v>
      </c>
      <c r="AW61" s="149" t="s">
        <v>54</v>
      </c>
      <c r="AX61" s="90"/>
      <c r="AY61" s="5"/>
      <c r="AZ61" s="35"/>
      <c r="BA61" s="176">
        <f>BA55</f>
        <v>0.5</v>
      </c>
      <c r="BB61" s="5" t="s">
        <v>54</v>
      </c>
      <c r="BC61" s="90"/>
      <c r="BD61" s="5"/>
      <c r="BE61" s="144"/>
      <c r="BF61" s="156">
        <f>BF55</f>
        <v>0.5</v>
      </c>
      <c r="BG61" s="149" t="s">
        <v>54</v>
      </c>
      <c r="BH61" s="90"/>
      <c r="BI61" s="48"/>
      <c r="BJ61" s="160"/>
      <c r="BK61" s="176">
        <f>BK55</f>
        <v>0.5</v>
      </c>
      <c r="BL61" s="5" t="s">
        <v>37</v>
      </c>
      <c r="BM61" s="94">
        <v>372</v>
      </c>
      <c r="BN61" s="213">
        <v>1.5</v>
      </c>
      <c r="BO61" s="220">
        <v>1</v>
      </c>
      <c r="BP61" s="213">
        <v>0.5</v>
      </c>
      <c r="BQ61" s="149" t="s">
        <v>117</v>
      </c>
      <c r="BR61" s="94">
        <v>620</v>
      </c>
      <c r="BS61" s="213">
        <v>1.5</v>
      </c>
      <c r="BT61" s="220">
        <v>1</v>
      </c>
      <c r="BU61" s="215">
        <v>0.5</v>
      </c>
    </row>
    <row r="62" spans="2:73" ht="15.75" thickBot="1" x14ac:dyDescent="0.3">
      <c r="C62" s="151"/>
      <c r="D62" s="209" t="s">
        <v>132</v>
      </c>
      <c r="E62" s="209">
        <f>CEILING((E60+E61)*(1+Preise!C13),1)</f>
        <v>3</v>
      </c>
      <c r="F62" s="209">
        <f>CEILING((F60+F61)*(1+Preise!C13),1)</f>
        <v>0</v>
      </c>
      <c r="G62" s="209">
        <f>CEILING((G60+G61)*(1+Preise!C13),1)</f>
        <v>0</v>
      </c>
      <c r="N62" s="2" t="s">
        <v>216</v>
      </c>
      <c r="O62" s="20" t="s">
        <v>54</v>
      </c>
      <c r="P62" s="20" t="s">
        <v>54</v>
      </c>
      <c r="Q62" s="20">
        <v>1</v>
      </c>
      <c r="R62" s="20">
        <v>1</v>
      </c>
      <c r="S62" s="82">
        <v>1</v>
      </c>
      <c r="V62" s="5">
        <f>INDEX(V46:V54,V80)</f>
        <v>1</v>
      </c>
      <c r="AC62" s="138" t="s">
        <v>54</v>
      </c>
      <c r="AD62" s="89"/>
      <c r="AE62" s="144"/>
      <c r="AF62" s="258"/>
      <c r="AG62" s="137"/>
      <c r="AH62" s="323" t="s">
        <v>31</v>
      </c>
      <c r="AI62" s="94">
        <v>76</v>
      </c>
      <c r="AJ62" s="213">
        <v>1.5</v>
      </c>
      <c r="AK62" s="220">
        <v>1</v>
      </c>
      <c r="AL62" s="213">
        <v>0.5</v>
      </c>
      <c r="AM62" s="149" t="s">
        <v>54</v>
      </c>
      <c r="AN62" s="90"/>
      <c r="AO62" s="81"/>
      <c r="AP62" s="144"/>
      <c r="AQ62" s="176">
        <f>AQ61</f>
        <v>0.5</v>
      </c>
      <c r="AR62" s="5" t="s">
        <v>33</v>
      </c>
      <c r="AS62" s="94">
        <v>95</v>
      </c>
      <c r="AT62" s="213">
        <v>1.5</v>
      </c>
      <c r="AU62" s="220">
        <v>1</v>
      </c>
      <c r="AV62" s="213">
        <v>0.5</v>
      </c>
      <c r="AW62" s="149" t="s">
        <v>54</v>
      </c>
      <c r="AX62" s="90"/>
      <c r="AY62" s="5"/>
      <c r="AZ62" s="35"/>
      <c r="BA62" s="176">
        <f>BA61</f>
        <v>0.5</v>
      </c>
      <c r="BB62" s="5" t="s">
        <v>115</v>
      </c>
      <c r="BC62" s="94">
        <v>160</v>
      </c>
      <c r="BD62" s="213">
        <v>1.5</v>
      </c>
      <c r="BE62" s="220">
        <v>1</v>
      </c>
      <c r="BF62" s="213">
        <v>0.5</v>
      </c>
      <c r="BG62" s="149" t="s">
        <v>54</v>
      </c>
      <c r="BH62" s="90"/>
      <c r="BI62" s="48"/>
      <c r="BJ62" s="160"/>
      <c r="BK62" s="176">
        <f>BK61</f>
        <v>0.5</v>
      </c>
      <c r="BL62" s="5" t="s">
        <v>118</v>
      </c>
      <c r="BM62" s="94">
        <v>275</v>
      </c>
      <c r="BN62" s="213">
        <v>1.5</v>
      </c>
      <c r="BO62" s="220">
        <v>1</v>
      </c>
      <c r="BP62" s="213">
        <v>0.5</v>
      </c>
      <c r="BQ62" s="149" t="s">
        <v>38</v>
      </c>
      <c r="BR62" s="94">
        <v>350</v>
      </c>
      <c r="BS62" s="213">
        <v>1.5</v>
      </c>
      <c r="BT62" s="220">
        <v>1</v>
      </c>
      <c r="BU62" s="215">
        <v>0.5</v>
      </c>
    </row>
    <row r="63" spans="2:73" x14ac:dyDescent="0.25">
      <c r="C63" s="5"/>
      <c r="D63" s="48"/>
      <c r="E63" s="48"/>
      <c r="F63" s="48"/>
      <c r="G63" s="48"/>
      <c r="N63" s="324" t="s">
        <v>215</v>
      </c>
      <c r="O63" s="318" t="s">
        <v>54</v>
      </c>
      <c r="P63" s="318" t="s">
        <v>54</v>
      </c>
      <c r="Q63" s="318">
        <v>1</v>
      </c>
      <c r="R63" s="318">
        <v>1</v>
      </c>
      <c r="S63" s="316">
        <v>1</v>
      </c>
      <c r="V63" s="5"/>
      <c r="AA63" s="317"/>
      <c r="AC63" s="138" t="s">
        <v>54</v>
      </c>
      <c r="AD63" s="89"/>
      <c r="AE63" s="144"/>
      <c r="AF63" s="258"/>
      <c r="AG63" s="137"/>
      <c r="AH63" s="323" t="s">
        <v>54</v>
      </c>
      <c r="AI63" s="94"/>
      <c r="AJ63" s="213"/>
      <c r="AK63" s="213"/>
      <c r="AL63" s="213"/>
      <c r="AM63" s="149" t="s">
        <v>32</v>
      </c>
      <c r="AN63" s="325">
        <v>90</v>
      </c>
      <c r="AO63" s="213">
        <v>1.5</v>
      </c>
      <c r="AP63" s="220">
        <v>1</v>
      </c>
      <c r="AQ63" s="215">
        <v>0.5</v>
      </c>
      <c r="AR63" s="5" t="s">
        <v>33</v>
      </c>
      <c r="AS63" s="325">
        <v>100</v>
      </c>
      <c r="AT63" s="213">
        <v>1.5</v>
      </c>
      <c r="AU63" s="220">
        <v>1</v>
      </c>
      <c r="AV63" s="213">
        <v>0.5</v>
      </c>
      <c r="AW63" s="150" t="s">
        <v>54</v>
      </c>
      <c r="AX63" s="90"/>
      <c r="AY63" s="5"/>
      <c r="AZ63" s="35"/>
      <c r="BA63" s="176"/>
      <c r="BB63" s="5" t="s">
        <v>115</v>
      </c>
      <c r="BC63" s="325">
        <v>181</v>
      </c>
      <c r="BD63" s="213">
        <v>1.5</v>
      </c>
      <c r="BE63" s="220">
        <v>1</v>
      </c>
      <c r="BF63" s="213">
        <v>0.5</v>
      </c>
      <c r="BG63" s="150" t="s">
        <v>54</v>
      </c>
      <c r="BH63" s="90"/>
      <c r="BI63" s="48"/>
      <c r="BJ63" s="160"/>
      <c r="BK63" s="176"/>
      <c r="BL63" s="5" t="s">
        <v>118</v>
      </c>
      <c r="BM63" s="325">
        <v>300</v>
      </c>
      <c r="BN63" s="213">
        <v>1.5</v>
      </c>
      <c r="BO63" s="220">
        <v>1</v>
      </c>
      <c r="BP63" s="213">
        <v>0.5</v>
      </c>
      <c r="BQ63" s="149" t="s">
        <v>38</v>
      </c>
      <c r="BR63" s="325">
        <v>400</v>
      </c>
      <c r="BS63" s="213">
        <v>1.5</v>
      </c>
      <c r="BT63" s="220">
        <v>1</v>
      </c>
      <c r="BU63" s="215">
        <v>0.5</v>
      </c>
    </row>
    <row r="64" spans="2:73" x14ac:dyDescent="0.25">
      <c r="C64" s="5"/>
      <c r="D64" s="48"/>
      <c r="E64" s="48"/>
      <c r="F64" s="48"/>
      <c r="G64" s="48"/>
      <c r="N64" s="2" t="s">
        <v>20</v>
      </c>
      <c r="O64" s="20" t="s">
        <v>54</v>
      </c>
      <c r="P64" s="20" t="s">
        <v>54</v>
      </c>
      <c r="Q64" s="20">
        <v>1</v>
      </c>
      <c r="R64" s="20">
        <v>1</v>
      </c>
      <c r="S64" s="82">
        <v>1</v>
      </c>
      <c r="V64" s="5"/>
      <c r="AA64" s="317"/>
      <c r="AC64" s="136" t="s">
        <v>54</v>
      </c>
      <c r="AD64" s="187"/>
      <c r="AE64" s="91"/>
      <c r="AF64" s="160"/>
      <c r="AG64" s="161"/>
      <c r="AH64" s="323" t="s">
        <v>31</v>
      </c>
      <c r="AI64" s="94">
        <v>19</v>
      </c>
      <c r="AJ64" s="202">
        <v>1</v>
      </c>
      <c r="AK64" s="201">
        <v>0.7</v>
      </c>
      <c r="AL64" s="329">
        <v>0.4</v>
      </c>
      <c r="AM64" s="148" t="s">
        <v>32</v>
      </c>
      <c r="AN64" s="94">
        <v>22</v>
      </c>
      <c r="AO64" s="329">
        <v>1</v>
      </c>
      <c r="AP64" s="201">
        <v>0.7</v>
      </c>
      <c r="AQ64" s="330">
        <v>0.4</v>
      </c>
      <c r="AR64" s="5" t="s">
        <v>33</v>
      </c>
      <c r="AS64" s="94">
        <v>25</v>
      </c>
      <c r="AT64" s="202">
        <v>1</v>
      </c>
      <c r="AU64" s="201">
        <v>0.7</v>
      </c>
      <c r="AV64" s="329">
        <v>0.4</v>
      </c>
      <c r="AW64" s="149" t="s">
        <v>34</v>
      </c>
      <c r="AX64" s="94">
        <v>31</v>
      </c>
      <c r="AY64" s="329">
        <v>1</v>
      </c>
      <c r="AZ64" s="201">
        <v>0.7</v>
      </c>
      <c r="BA64" s="330">
        <v>0.4</v>
      </c>
      <c r="BB64" s="5" t="s">
        <v>35</v>
      </c>
      <c r="BC64" s="94">
        <v>40</v>
      </c>
      <c r="BD64" s="202">
        <v>1</v>
      </c>
      <c r="BE64" s="201">
        <v>0.7</v>
      </c>
      <c r="BF64" s="329">
        <v>0.4</v>
      </c>
      <c r="BG64" s="149" t="s">
        <v>36</v>
      </c>
      <c r="BH64" s="94">
        <v>45</v>
      </c>
      <c r="BI64" s="329">
        <v>1</v>
      </c>
      <c r="BJ64" s="201">
        <v>0.7</v>
      </c>
      <c r="BK64" s="330">
        <v>0.4</v>
      </c>
      <c r="BL64" s="5" t="s">
        <v>37</v>
      </c>
      <c r="BM64" s="94">
        <v>95</v>
      </c>
      <c r="BN64" s="202">
        <v>1</v>
      </c>
      <c r="BO64" s="201">
        <v>0.7</v>
      </c>
      <c r="BP64" s="329">
        <v>0.4</v>
      </c>
      <c r="BQ64" s="149" t="s">
        <v>38</v>
      </c>
      <c r="BR64" s="94">
        <v>115</v>
      </c>
      <c r="BS64" s="329">
        <v>1</v>
      </c>
      <c r="BT64" s="201">
        <v>0.7</v>
      </c>
      <c r="BU64" s="330">
        <v>0.4</v>
      </c>
    </row>
    <row r="65" spans="3:73" x14ac:dyDescent="0.25">
      <c r="C65" s="5"/>
      <c r="D65" s="48"/>
      <c r="E65" s="48"/>
      <c r="F65" s="48"/>
      <c r="G65" s="48"/>
      <c r="N65" s="2" t="s">
        <v>68</v>
      </c>
      <c r="O65" s="20" t="s">
        <v>54</v>
      </c>
      <c r="P65" s="20" t="s">
        <v>54</v>
      </c>
      <c r="Q65" s="20">
        <v>1</v>
      </c>
      <c r="R65" s="20">
        <v>1</v>
      </c>
      <c r="S65" s="82">
        <v>1</v>
      </c>
      <c r="AC65" s="136" t="s">
        <v>54</v>
      </c>
      <c r="AD65" s="189"/>
      <c r="AE65" s="132"/>
      <c r="AF65" s="160"/>
      <c r="AG65" s="161"/>
      <c r="AH65" s="323" t="s">
        <v>54</v>
      </c>
      <c r="AI65" s="122"/>
      <c r="AJ65" s="5"/>
      <c r="AK65" s="160"/>
      <c r="AL65" s="131"/>
      <c r="AM65" s="149" t="s">
        <v>54</v>
      </c>
      <c r="AN65" s="90"/>
      <c r="AO65" s="81"/>
      <c r="AP65" s="144"/>
      <c r="AQ65" s="176">
        <f>AQ62</f>
        <v>0.5</v>
      </c>
      <c r="AR65" s="5" t="s">
        <v>33</v>
      </c>
      <c r="AS65" s="94">
        <v>47</v>
      </c>
      <c r="AT65" s="213">
        <v>1.5</v>
      </c>
      <c r="AU65" s="220">
        <v>1</v>
      </c>
      <c r="AV65" s="213">
        <v>0.5</v>
      </c>
      <c r="AW65" s="149" t="s">
        <v>54</v>
      </c>
      <c r="AX65" s="90"/>
      <c r="AY65" s="5"/>
      <c r="AZ65" s="35"/>
      <c r="BA65" s="176">
        <f>BA62</f>
        <v>0.5</v>
      </c>
      <c r="BB65" s="5" t="s">
        <v>69</v>
      </c>
      <c r="BC65" s="94">
        <v>80</v>
      </c>
      <c r="BD65" s="213">
        <v>1.5</v>
      </c>
      <c r="BE65" s="220">
        <v>1</v>
      </c>
      <c r="BF65" s="213">
        <v>0.5</v>
      </c>
      <c r="BG65" s="149" t="s">
        <v>119</v>
      </c>
      <c r="BH65" s="94">
        <v>123</v>
      </c>
      <c r="BI65" s="213">
        <v>1.5</v>
      </c>
      <c r="BJ65" s="220">
        <v>1</v>
      </c>
      <c r="BK65" s="215">
        <v>0.5</v>
      </c>
      <c r="BL65" s="5" t="s">
        <v>120</v>
      </c>
      <c r="BM65" s="94">
        <v>148.30000000000001</v>
      </c>
      <c r="BN65" s="213">
        <v>1.5</v>
      </c>
      <c r="BO65" s="220">
        <v>1</v>
      </c>
      <c r="BP65" s="213">
        <v>0.5</v>
      </c>
      <c r="BQ65" s="149" t="s">
        <v>121</v>
      </c>
      <c r="BR65" s="94">
        <v>231.7</v>
      </c>
      <c r="BS65" s="213">
        <v>1.5</v>
      </c>
      <c r="BT65" s="220">
        <v>1</v>
      </c>
      <c r="BU65" s="215">
        <v>0.5</v>
      </c>
    </row>
    <row r="66" spans="3:73" x14ac:dyDescent="0.25">
      <c r="C66" s="5"/>
      <c r="D66" s="48"/>
      <c r="E66" s="48"/>
      <c r="F66" s="48"/>
      <c r="G66" s="48"/>
      <c r="N66" s="2" t="s">
        <v>22</v>
      </c>
      <c r="O66" s="20" t="s">
        <v>54</v>
      </c>
      <c r="P66" s="20" t="s">
        <v>54</v>
      </c>
      <c r="Q66" s="20">
        <v>1</v>
      </c>
      <c r="R66" s="20">
        <v>1</v>
      </c>
      <c r="S66" s="82">
        <v>1</v>
      </c>
      <c r="AC66" s="136" t="s">
        <v>54</v>
      </c>
      <c r="AD66" s="187"/>
      <c r="AE66" s="91"/>
      <c r="AF66" s="160"/>
      <c r="AG66" s="161"/>
      <c r="AH66" s="323" t="s">
        <v>31</v>
      </c>
      <c r="AI66" s="94">
        <v>58</v>
      </c>
      <c r="AJ66" s="213">
        <v>1.5</v>
      </c>
      <c r="AK66" s="220">
        <v>1</v>
      </c>
      <c r="AL66" s="213">
        <v>0.5</v>
      </c>
      <c r="AM66" s="148" t="s">
        <v>32</v>
      </c>
      <c r="AN66" s="94">
        <v>65</v>
      </c>
      <c r="AO66" s="213">
        <v>1.5</v>
      </c>
      <c r="AP66" s="220">
        <v>1</v>
      </c>
      <c r="AQ66" s="215">
        <v>0.5</v>
      </c>
      <c r="AR66" s="5" t="s">
        <v>33</v>
      </c>
      <c r="AS66" s="94">
        <v>73</v>
      </c>
      <c r="AT66" s="213">
        <v>1.5</v>
      </c>
      <c r="AU66" s="220">
        <v>1</v>
      </c>
      <c r="AV66" s="213">
        <v>0.5</v>
      </c>
      <c r="AW66" s="149" t="s">
        <v>34</v>
      </c>
      <c r="AX66" s="94">
        <v>87</v>
      </c>
      <c r="AY66" s="213">
        <v>1.5</v>
      </c>
      <c r="AZ66" s="220">
        <v>1</v>
      </c>
      <c r="BA66" s="215">
        <v>0.5</v>
      </c>
      <c r="BB66" s="5" t="s">
        <v>35</v>
      </c>
      <c r="BC66" s="94">
        <v>109</v>
      </c>
      <c r="BD66" s="213">
        <v>1.5</v>
      </c>
      <c r="BE66" s="220">
        <v>1</v>
      </c>
      <c r="BF66" s="213">
        <v>0.5</v>
      </c>
      <c r="BG66" s="149" t="s">
        <v>36</v>
      </c>
      <c r="BH66" s="94">
        <v>123</v>
      </c>
      <c r="BI66" s="213">
        <v>1.5</v>
      </c>
      <c r="BJ66" s="220">
        <v>1</v>
      </c>
      <c r="BK66" s="215">
        <v>0.5</v>
      </c>
      <c r="BL66" s="5" t="s">
        <v>55</v>
      </c>
      <c r="BM66" s="94">
        <v>221</v>
      </c>
      <c r="BN66" s="213">
        <v>1.5</v>
      </c>
      <c r="BO66" s="220">
        <v>1</v>
      </c>
      <c r="BP66" s="213">
        <v>0.5</v>
      </c>
      <c r="BQ66" s="149" t="s">
        <v>38</v>
      </c>
      <c r="BR66" s="94">
        <v>323</v>
      </c>
      <c r="BS66" s="213">
        <v>1.5</v>
      </c>
      <c r="BT66" s="220">
        <v>1</v>
      </c>
      <c r="BU66" s="215">
        <v>0.5</v>
      </c>
    </row>
    <row r="67" spans="3:73" x14ac:dyDescent="0.25">
      <c r="C67" s="5"/>
      <c r="D67" s="48"/>
      <c r="E67" s="48"/>
      <c r="F67" s="48"/>
      <c r="G67" s="48"/>
      <c r="N67" s="2" t="s">
        <v>23</v>
      </c>
      <c r="O67" s="20" t="s">
        <v>54</v>
      </c>
      <c r="P67" s="20" t="s">
        <v>54</v>
      </c>
      <c r="Q67" s="20">
        <v>1</v>
      </c>
      <c r="R67" s="20">
        <v>1</v>
      </c>
      <c r="S67" s="82">
        <v>1</v>
      </c>
      <c r="AC67" s="136" t="s">
        <v>54</v>
      </c>
      <c r="AD67" s="187"/>
      <c r="AE67" s="91"/>
      <c r="AF67" s="160"/>
      <c r="AG67" s="161"/>
      <c r="AH67" s="323" t="s">
        <v>31</v>
      </c>
      <c r="AI67" s="94">
        <v>58</v>
      </c>
      <c r="AJ67" s="213">
        <v>1.5</v>
      </c>
      <c r="AK67" s="220">
        <v>1</v>
      </c>
      <c r="AL67" s="213">
        <v>0.5</v>
      </c>
      <c r="AM67" s="148" t="s">
        <v>32</v>
      </c>
      <c r="AN67" s="94">
        <v>65</v>
      </c>
      <c r="AO67" s="213">
        <v>1.5</v>
      </c>
      <c r="AP67" s="220">
        <v>1</v>
      </c>
      <c r="AQ67" s="215">
        <v>0.5</v>
      </c>
      <c r="AR67" s="5" t="s">
        <v>33</v>
      </c>
      <c r="AS67" s="94">
        <v>73</v>
      </c>
      <c r="AT67" s="213">
        <v>1.5</v>
      </c>
      <c r="AU67" s="220">
        <v>1</v>
      </c>
      <c r="AV67" s="213">
        <v>0.5</v>
      </c>
      <c r="AW67" s="149" t="s">
        <v>34</v>
      </c>
      <c r="AX67" s="94">
        <v>87</v>
      </c>
      <c r="AY67" s="213">
        <v>1.5</v>
      </c>
      <c r="AZ67" s="220">
        <v>1</v>
      </c>
      <c r="BA67" s="215">
        <v>0.5</v>
      </c>
      <c r="BB67" s="5" t="s">
        <v>35</v>
      </c>
      <c r="BC67" s="94">
        <v>109</v>
      </c>
      <c r="BD67" s="213">
        <v>1.5</v>
      </c>
      <c r="BE67" s="220">
        <v>1</v>
      </c>
      <c r="BF67" s="213">
        <v>0.5</v>
      </c>
      <c r="BG67" s="149" t="s">
        <v>36</v>
      </c>
      <c r="BH67" s="94">
        <v>94.1</v>
      </c>
      <c r="BI67" s="213">
        <v>1.5</v>
      </c>
      <c r="BJ67" s="220">
        <v>1</v>
      </c>
      <c r="BK67" s="215">
        <v>0.5</v>
      </c>
      <c r="BL67" s="5" t="s">
        <v>55</v>
      </c>
      <c r="BM67" s="94">
        <v>221</v>
      </c>
      <c r="BN67" s="213">
        <v>1.5</v>
      </c>
      <c r="BO67" s="220">
        <v>1</v>
      </c>
      <c r="BP67" s="213">
        <v>0.5</v>
      </c>
      <c r="BQ67" s="149" t="s">
        <v>38</v>
      </c>
      <c r="BR67" s="94">
        <v>323</v>
      </c>
      <c r="BS67" s="213">
        <v>1.5</v>
      </c>
      <c r="BT67" s="220">
        <v>1</v>
      </c>
      <c r="BU67" s="215">
        <v>0.5</v>
      </c>
    </row>
    <row r="68" spans="3:73" x14ac:dyDescent="0.25">
      <c r="C68" s="5"/>
      <c r="D68" s="48"/>
      <c r="E68" s="48"/>
      <c r="F68" s="48"/>
      <c r="G68" s="48"/>
      <c r="N68" s="2" t="s">
        <v>85</v>
      </c>
      <c r="O68" s="128" t="s">
        <v>54</v>
      </c>
      <c r="P68" s="128" t="s">
        <v>54</v>
      </c>
      <c r="Q68" s="128">
        <v>1</v>
      </c>
      <c r="R68" s="128">
        <v>1</v>
      </c>
      <c r="AC68" s="136" t="s">
        <v>54</v>
      </c>
      <c r="AD68" s="58"/>
      <c r="AE68" s="91"/>
      <c r="AF68" s="160"/>
      <c r="AG68" s="161"/>
      <c r="AH68" s="323" t="s">
        <v>54</v>
      </c>
      <c r="AI68" s="62"/>
      <c r="AJ68" s="5"/>
      <c r="AK68" s="160"/>
      <c r="AL68" s="156"/>
      <c r="AM68" s="149" t="s">
        <v>54</v>
      </c>
      <c r="AN68" s="90"/>
      <c r="AO68" s="81"/>
      <c r="AP68" s="144"/>
      <c r="AQ68" s="176">
        <f>AL54</f>
        <v>0.3</v>
      </c>
      <c r="AR68" s="5" t="s">
        <v>54</v>
      </c>
      <c r="AS68" s="90"/>
      <c r="AT68" s="5"/>
      <c r="AU68" s="35"/>
      <c r="AV68" s="156">
        <f>AQ54</f>
        <v>0.3</v>
      </c>
      <c r="AW68" s="149" t="s">
        <v>54</v>
      </c>
      <c r="AX68" s="90"/>
      <c r="AY68" s="5"/>
      <c r="AZ68" s="35"/>
      <c r="BA68" s="176">
        <f>AV54</f>
        <v>0.3</v>
      </c>
      <c r="BB68" s="5" t="s">
        <v>54</v>
      </c>
      <c r="BC68" s="90"/>
      <c r="BD68" s="5"/>
      <c r="BE68" s="144"/>
      <c r="BF68" s="156">
        <f>BA54</f>
        <v>0.3</v>
      </c>
      <c r="BG68" s="149" t="s">
        <v>54</v>
      </c>
      <c r="BH68" s="90"/>
      <c r="BI68" s="48"/>
      <c r="BJ68" s="160"/>
      <c r="BK68" s="176">
        <f>BF54</f>
        <v>0.3</v>
      </c>
      <c r="BL68" s="5" t="s">
        <v>37</v>
      </c>
      <c r="BM68" s="94">
        <v>123.2</v>
      </c>
      <c r="BN68" s="202">
        <v>1</v>
      </c>
      <c r="BO68" s="201">
        <v>0.7</v>
      </c>
      <c r="BP68" s="329">
        <v>0.4</v>
      </c>
      <c r="BQ68" s="149" t="s">
        <v>128</v>
      </c>
      <c r="BR68" s="94">
        <v>180</v>
      </c>
      <c r="BS68" s="329">
        <v>1</v>
      </c>
      <c r="BT68" s="201">
        <v>0.7</v>
      </c>
      <c r="BU68" s="330">
        <v>0.4</v>
      </c>
    </row>
    <row r="69" spans="3:73" x14ac:dyDescent="0.25">
      <c r="C69" s="5"/>
      <c r="D69" s="48"/>
      <c r="E69" s="48"/>
      <c r="F69" s="48"/>
      <c r="G69" s="48"/>
      <c r="N69" s="2" t="s">
        <v>218</v>
      </c>
      <c r="O69" s="318" t="s">
        <v>54</v>
      </c>
      <c r="P69" s="318" t="s">
        <v>54</v>
      </c>
      <c r="Q69" s="318">
        <v>1</v>
      </c>
      <c r="R69" s="318">
        <v>1</v>
      </c>
      <c r="S69" s="316">
        <v>1</v>
      </c>
      <c r="AA69" s="317"/>
      <c r="AC69" s="138" t="s">
        <v>126</v>
      </c>
      <c r="AD69" s="188">
        <v>31.4</v>
      </c>
      <c r="AE69" s="329">
        <v>1</v>
      </c>
      <c r="AF69" s="201">
        <v>0.7</v>
      </c>
      <c r="AG69" s="330">
        <v>0.4</v>
      </c>
      <c r="AH69" s="291" t="s">
        <v>31</v>
      </c>
      <c r="AI69" s="94">
        <v>26</v>
      </c>
      <c r="AJ69" s="202">
        <v>1</v>
      </c>
      <c r="AK69" s="201">
        <v>0.7</v>
      </c>
      <c r="AL69" s="329">
        <v>0.4</v>
      </c>
      <c r="AM69" s="150" t="s">
        <v>32</v>
      </c>
      <c r="AN69" s="170">
        <v>29</v>
      </c>
      <c r="AO69" s="329">
        <v>1</v>
      </c>
      <c r="AP69" s="201">
        <v>0.7</v>
      </c>
      <c r="AQ69" s="330">
        <v>0.4</v>
      </c>
      <c r="AR69" s="324" t="s">
        <v>33</v>
      </c>
      <c r="AS69" s="94">
        <v>32</v>
      </c>
      <c r="AT69" s="202">
        <v>1</v>
      </c>
      <c r="AU69" s="201">
        <v>0.7</v>
      </c>
      <c r="AV69" s="329">
        <v>0.4</v>
      </c>
      <c r="AW69" s="150" t="s">
        <v>34</v>
      </c>
      <c r="AX69" s="170">
        <v>38</v>
      </c>
      <c r="AY69" s="329">
        <v>1</v>
      </c>
      <c r="AZ69" s="201">
        <v>0.7</v>
      </c>
      <c r="BA69" s="330">
        <v>0.4</v>
      </c>
      <c r="BB69" s="324" t="s">
        <v>54</v>
      </c>
      <c r="BC69" s="170"/>
      <c r="BD69" s="202"/>
      <c r="BE69" s="201"/>
      <c r="BF69" s="329"/>
      <c r="BG69" s="149" t="s">
        <v>38</v>
      </c>
      <c r="BH69" s="170">
        <v>150</v>
      </c>
      <c r="BI69" s="213">
        <v>1.5</v>
      </c>
      <c r="BJ69" s="220">
        <v>1</v>
      </c>
      <c r="BK69" s="215">
        <v>0.5</v>
      </c>
      <c r="BL69" s="149" t="s">
        <v>208</v>
      </c>
      <c r="BM69" s="170">
        <v>250</v>
      </c>
      <c r="BN69" s="213">
        <v>1.5</v>
      </c>
      <c r="BO69" s="220">
        <v>1</v>
      </c>
      <c r="BP69" s="215">
        <v>0.5</v>
      </c>
      <c r="BQ69" s="149" t="s">
        <v>262</v>
      </c>
      <c r="BR69" s="170">
        <v>300</v>
      </c>
      <c r="BS69" s="213">
        <v>1.5</v>
      </c>
      <c r="BT69" s="220">
        <v>1</v>
      </c>
      <c r="BU69" s="215">
        <v>0.5</v>
      </c>
    </row>
    <row r="70" spans="3:73" x14ac:dyDescent="0.25">
      <c r="C70" s="5"/>
      <c r="D70" s="48"/>
      <c r="E70" s="48"/>
      <c r="F70" s="48"/>
      <c r="G70" s="48"/>
      <c r="N70" s="2" t="s">
        <v>219</v>
      </c>
      <c r="O70" s="318" t="s">
        <v>54</v>
      </c>
      <c r="P70" s="318" t="s">
        <v>54</v>
      </c>
      <c r="Q70" s="318">
        <v>1</v>
      </c>
      <c r="R70" s="318">
        <v>1</v>
      </c>
      <c r="S70" s="316">
        <v>1</v>
      </c>
      <c r="AA70" s="317"/>
      <c r="AC70" s="138" t="s">
        <v>54</v>
      </c>
      <c r="AD70" s="188"/>
      <c r="AE70" s="329"/>
      <c r="AF70" s="201"/>
      <c r="AG70" s="330"/>
      <c r="AH70" s="291" t="s">
        <v>54</v>
      </c>
      <c r="AI70" s="94"/>
      <c r="AJ70" s="202"/>
      <c r="AK70" s="201"/>
      <c r="AL70" s="329"/>
      <c r="AM70" s="150" t="s">
        <v>32</v>
      </c>
      <c r="AN70" s="170">
        <v>29</v>
      </c>
      <c r="AO70" s="329">
        <v>1</v>
      </c>
      <c r="AP70" s="201">
        <v>0.7</v>
      </c>
      <c r="AQ70" s="330">
        <v>0.4</v>
      </c>
      <c r="AR70" s="324" t="s">
        <v>54</v>
      </c>
      <c r="AS70" s="94"/>
      <c r="AT70" s="202"/>
      <c r="AU70" s="201"/>
      <c r="AV70" s="329"/>
      <c r="AW70" s="150" t="s">
        <v>54</v>
      </c>
      <c r="AX70" s="170"/>
      <c r="AY70" s="329"/>
      <c r="AZ70" s="201"/>
      <c r="BA70" s="330"/>
      <c r="BB70" s="324" t="s">
        <v>54</v>
      </c>
      <c r="BC70" s="170"/>
      <c r="BD70" s="202"/>
      <c r="BE70" s="201"/>
      <c r="BF70" s="329"/>
      <c r="BG70" s="150" t="s">
        <v>54</v>
      </c>
      <c r="BH70" s="170"/>
      <c r="BI70" s="329"/>
      <c r="BJ70" s="201"/>
      <c r="BK70" s="330"/>
      <c r="BL70" s="149" t="s">
        <v>38</v>
      </c>
      <c r="BM70" s="170">
        <v>150</v>
      </c>
      <c r="BN70" s="213">
        <v>1.5</v>
      </c>
      <c r="BO70" s="220">
        <v>1</v>
      </c>
      <c r="BP70" s="215">
        <v>0.5</v>
      </c>
      <c r="BQ70" s="149" t="s">
        <v>208</v>
      </c>
      <c r="BR70" s="170">
        <v>250</v>
      </c>
      <c r="BS70" s="213">
        <v>1.5</v>
      </c>
      <c r="BT70" s="220">
        <v>1</v>
      </c>
      <c r="BU70" s="215">
        <v>0.5</v>
      </c>
    </row>
    <row r="71" spans="3:73" x14ac:dyDescent="0.25">
      <c r="C71" s="5"/>
      <c r="D71" s="48"/>
      <c r="E71" s="48"/>
      <c r="F71" s="48"/>
      <c r="G71" s="48"/>
      <c r="N71" s="2" t="s">
        <v>220</v>
      </c>
      <c r="O71" s="20" t="s">
        <v>54</v>
      </c>
      <c r="P71" s="20" t="s">
        <v>54</v>
      </c>
      <c r="Q71" s="20">
        <v>1</v>
      </c>
      <c r="R71" s="20">
        <v>1</v>
      </c>
      <c r="S71" s="82">
        <v>1</v>
      </c>
      <c r="AC71" s="138" t="s">
        <v>54</v>
      </c>
      <c r="AD71" s="188"/>
      <c r="AE71" s="329"/>
      <c r="AF71" s="201"/>
      <c r="AG71" s="330"/>
      <c r="AH71" s="291" t="s">
        <v>54</v>
      </c>
      <c r="AI71" s="94"/>
      <c r="AJ71" s="202"/>
      <c r="AK71" s="201"/>
      <c r="AL71" s="329"/>
      <c r="AM71" s="150" t="s">
        <v>32</v>
      </c>
      <c r="AN71" s="170">
        <v>29</v>
      </c>
      <c r="AO71" s="329">
        <v>1</v>
      </c>
      <c r="AP71" s="201">
        <v>0.7</v>
      </c>
      <c r="AQ71" s="330">
        <v>0.4</v>
      </c>
      <c r="AR71" s="324" t="s">
        <v>33</v>
      </c>
      <c r="AS71" s="94">
        <v>32</v>
      </c>
      <c r="AT71" s="202">
        <v>1</v>
      </c>
      <c r="AU71" s="201">
        <v>0.7</v>
      </c>
      <c r="AV71" s="329">
        <v>0.4</v>
      </c>
      <c r="AW71" s="150" t="s">
        <v>54</v>
      </c>
      <c r="AX71" s="170"/>
      <c r="AY71" s="329"/>
      <c r="AZ71" s="201"/>
      <c r="BA71" s="330"/>
      <c r="BB71" s="324" t="s">
        <v>54</v>
      </c>
      <c r="BC71" s="170"/>
      <c r="BD71" s="202"/>
      <c r="BE71" s="201"/>
      <c r="BF71" s="329"/>
      <c r="BG71" s="150" t="s">
        <v>116</v>
      </c>
      <c r="BH71" s="170">
        <v>84.5</v>
      </c>
      <c r="BI71" s="329">
        <v>1</v>
      </c>
      <c r="BJ71" s="201">
        <v>0.7</v>
      </c>
      <c r="BK71" s="330">
        <v>0.4</v>
      </c>
      <c r="BL71" s="5" t="s">
        <v>54</v>
      </c>
      <c r="BM71" s="170"/>
      <c r="BN71" s="202"/>
      <c r="BO71" s="201"/>
      <c r="BP71" s="329"/>
      <c r="BQ71" s="149" t="s">
        <v>38</v>
      </c>
      <c r="BR71" s="170">
        <v>150</v>
      </c>
      <c r="BS71" s="213">
        <v>1.5</v>
      </c>
      <c r="BT71" s="220">
        <v>1</v>
      </c>
      <c r="BU71" s="215">
        <v>0.5</v>
      </c>
    </row>
    <row r="72" spans="3:73" x14ac:dyDescent="0.25">
      <c r="C72" s="5"/>
      <c r="D72" s="48"/>
      <c r="E72" s="48"/>
      <c r="F72" s="48"/>
      <c r="G72" s="48"/>
      <c r="N72" s="2" t="s">
        <v>134</v>
      </c>
      <c r="O72" s="200" t="s">
        <v>54</v>
      </c>
      <c r="P72" s="200" t="s">
        <v>54</v>
      </c>
      <c r="Q72" s="200">
        <v>1</v>
      </c>
      <c r="R72" s="200">
        <v>1</v>
      </c>
      <c r="S72" s="199">
        <v>1</v>
      </c>
      <c r="AA72" s="198"/>
      <c r="AC72" s="138" t="s">
        <v>54</v>
      </c>
      <c r="AD72" s="35"/>
      <c r="AE72" s="131"/>
      <c r="AF72" s="160"/>
      <c r="AG72" s="161"/>
      <c r="AH72" s="291" t="s">
        <v>54</v>
      </c>
      <c r="AI72" s="5"/>
      <c r="AJ72" s="131"/>
      <c r="AK72" s="160"/>
      <c r="AL72" s="48"/>
      <c r="AM72" s="149" t="s">
        <v>135</v>
      </c>
      <c r="AN72" s="170">
        <v>57</v>
      </c>
      <c r="AO72" s="213">
        <v>1.5</v>
      </c>
      <c r="AP72" s="220">
        <v>1</v>
      </c>
      <c r="AQ72" s="215">
        <v>0.5</v>
      </c>
      <c r="AR72" s="5" t="s">
        <v>33</v>
      </c>
      <c r="AS72" s="94">
        <v>67</v>
      </c>
      <c r="AT72" s="213">
        <v>1.5</v>
      </c>
      <c r="AU72" s="220">
        <v>1</v>
      </c>
      <c r="AV72" s="213">
        <v>0.5</v>
      </c>
      <c r="AW72" s="149" t="s">
        <v>69</v>
      </c>
      <c r="AX72" s="170">
        <v>109</v>
      </c>
      <c r="AY72" s="213">
        <v>1.5</v>
      </c>
      <c r="AZ72" s="220">
        <v>1</v>
      </c>
      <c r="BA72" s="215">
        <v>0.5</v>
      </c>
      <c r="BB72" s="5" t="s">
        <v>115</v>
      </c>
      <c r="BC72" s="170">
        <v>125</v>
      </c>
      <c r="BD72" s="213">
        <v>1.5</v>
      </c>
      <c r="BE72" s="220">
        <v>1</v>
      </c>
      <c r="BF72" s="213">
        <v>0.5</v>
      </c>
      <c r="BG72" s="149" t="s">
        <v>136</v>
      </c>
      <c r="BH72" s="170">
        <v>148</v>
      </c>
      <c r="BI72" s="213">
        <v>1.5</v>
      </c>
      <c r="BJ72" s="220">
        <v>1</v>
      </c>
      <c r="BK72" s="215">
        <v>0.5</v>
      </c>
      <c r="BL72" s="5" t="s">
        <v>78</v>
      </c>
      <c r="BM72" s="170">
        <v>210</v>
      </c>
      <c r="BN72" s="213">
        <v>1.5</v>
      </c>
      <c r="BO72" s="220">
        <v>1</v>
      </c>
      <c r="BP72" s="213">
        <v>0.5</v>
      </c>
      <c r="BQ72" s="149" t="s">
        <v>203</v>
      </c>
      <c r="BR72" s="170">
        <v>265</v>
      </c>
      <c r="BS72" s="213">
        <v>1.5</v>
      </c>
      <c r="BT72" s="220">
        <v>1</v>
      </c>
      <c r="BU72" s="215">
        <v>0.5</v>
      </c>
    </row>
    <row r="73" spans="3:73" x14ac:dyDescent="0.25">
      <c r="N73" t="s">
        <v>221</v>
      </c>
      <c r="O73" s="20" t="s">
        <v>54</v>
      </c>
      <c r="P73" s="20" t="s">
        <v>54</v>
      </c>
      <c r="Q73" s="20">
        <v>1</v>
      </c>
      <c r="R73" s="20">
        <v>1</v>
      </c>
      <c r="S73" s="319">
        <v>1</v>
      </c>
      <c r="AC73" s="150" t="s">
        <v>250</v>
      </c>
      <c r="AD73" s="326">
        <v>95</v>
      </c>
      <c r="AE73" s="329">
        <v>1</v>
      </c>
      <c r="AF73" s="201">
        <v>0.7</v>
      </c>
      <c r="AG73" s="330">
        <v>0.4</v>
      </c>
      <c r="AH73" s="324" t="s">
        <v>228</v>
      </c>
      <c r="AI73" s="326">
        <v>98</v>
      </c>
      <c r="AJ73" s="202">
        <v>1</v>
      </c>
      <c r="AK73" s="201">
        <v>0.7</v>
      </c>
      <c r="AL73" s="329">
        <v>0.4</v>
      </c>
      <c r="AM73" s="150" t="s">
        <v>222</v>
      </c>
      <c r="AN73" s="326">
        <v>145</v>
      </c>
      <c r="AO73" s="213">
        <v>1.5</v>
      </c>
      <c r="AP73" s="220">
        <v>1</v>
      </c>
      <c r="AQ73" s="215">
        <v>0.5</v>
      </c>
      <c r="AR73" s="324" t="s">
        <v>223</v>
      </c>
      <c r="AS73" s="326">
        <v>120</v>
      </c>
      <c r="AT73" s="202">
        <v>1</v>
      </c>
      <c r="AU73" s="201">
        <v>0.7</v>
      </c>
      <c r="AV73" s="329">
        <v>0.4</v>
      </c>
      <c r="AW73" s="150" t="s">
        <v>224</v>
      </c>
      <c r="AX73" s="326">
        <v>100</v>
      </c>
      <c r="AY73" s="213">
        <v>1.5</v>
      </c>
      <c r="AZ73" s="220">
        <v>1</v>
      </c>
      <c r="BA73" s="215">
        <v>0.5</v>
      </c>
      <c r="BB73" s="324" t="s">
        <v>225</v>
      </c>
      <c r="BC73" s="326">
        <v>110</v>
      </c>
      <c r="BD73" s="213">
        <v>1.5</v>
      </c>
      <c r="BE73" s="220">
        <v>1</v>
      </c>
      <c r="BF73" s="213">
        <v>0.5</v>
      </c>
      <c r="BG73" s="150" t="s">
        <v>226</v>
      </c>
      <c r="BH73" s="326">
        <v>280</v>
      </c>
      <c r="BI73" s="213">
        <v>1.5</v>
      </c>
      <c r="BJ73" s="220">
        <v>1</v>
      </c>
      <c r="BK73" s="215">
        <v>0.5</v>
      </c>
      <c r="BL73" s="324" t="s">
        <v>227</v>
      </c>
      <c r="BM73" s="326">
        <v>475</v>
      </c>
      <c r="BN73" s="213">
        <v>1.5</v>
      </c>
      <c r="BO73" s="220">
        <v>1</v>
      </c>
      <c r="BP73" s="213">
        <v>0.5</v>
      </c>
      <c r="BQ73" s="150" t="s">
        <v>54</v>
      </c>
      <c r="BR73" s="5"/>
      <c r="BS73" s="5"/>
      <c r="BT73" s="5"/>
      <c r="BU73" s="137"/>
    </row>
    <row r="74" spans="3:73" x14ac:dyDescent="0.25">
      <c r="N74" s="2" t="s">
        <v>70</v>
      </c>
      <c r="O74" s="20" t="s">
        <v>54</v>
      </c>
      <c r="P74" s="20" t="s">
        <v>54</v>
      </c>
      <c r="Q74" s="20">
        <v>1</v>
      </c>
      <c r="R74" s="20">
        <v>1</v>
      </c>
      <c r="S74" s="82">
        <v>1</v>
      </c>
      <c r="AC74" s="138" t="s">
        <v>54</v>
      </c>
      <c r="AD74" s="35"/>
      <c r="AE74" s="131"/>
      <c r="AF74" s="35"/>
      <c r="AG74" s="137"/>
      <c r="AH74" s="131" t="s">
        <v>54</v>
      </c>
      <c r="AI74" s="5"/>
      <c r="AJ74" s="5"/>
      <c r="AK74" s="144"/>
      <c r="AL74" s="5"/>
      <c r="AM74" s="149" t="s">
        <v>72</v>
      </c>
      <c r="AN74" s="170">
        <v>115</v>
      </c>
      <c r="AO74" s="213">
        <v>1.5</v>
      </c>
      <c r="AP74" s="220">
        <v>1</v>
      </c>
      <c r="AQ74" s="215">
        <v>0.5</v>
      </c>
      <c r="AR74" s="5" t="s">
        <v>54</v>
      </c>
      <c r="AS74" s="122"/>
      <c r="AT74" s="5"/>
      <c r="AU74" s="35"/>
      <c r="AV74" s="156"/>
      <c r="AW74" s="149" t="s">
        <v>54</v>
      </c>
      <c r="AX74" s="122"/>
      <c r="AY74" s="5"/>
      <c r="AZ74" s="35"/>
      <c r="BA74" s="176">
        <f>BA65</f>
        <v>0.5</v>
      </c>
      <c r="BB74" s="5" t="s">
        <v>69</v>
      </c>
      <c r="BC74" s="170">
        <v>170</v>
      </c>
      <c r="BD74" s="213">
        <v>1.5</v>
      </c>
      <c r="BE74" s="220">
        <v>1</v>
      </c>
      <c r="BF74" s="213">
        <v>0.5</v>
      </c>
      <c r="BG74" s="149" t="s">
        <v>54</v>
      </c>
      <c r="BH74" s="122"/>
      <c r="BI74" s="48"/>
      <c r="BJ74" s="160"/>
      <c r="BK74" s="176">
        <f>BK65</f>
        <v>0.5</v>
      </c>
      <c r="BL74" s="5" t="s">
        <v>37</v>
      </c>
      <c r="BM74" s="170">
        <v>300</v>
      </c>
      <c r="BN74" s="213">
        <v>1.5</v>
      </c>
      <c r="BO74" s="220">
        <v>1</v>
      </c>
      <c r="BP74" s="213">
        <v>0.5</v>
      </c>
      <c r="BQ74" s="149" t="s">
        <v>38</v>
      </c>
      <c r="BR74" s="170">
        <v>480</v>
      </c>
      <c r="BS74" s="213">
        <v>1.5</v>
      </c>
      <c r="BT74" s="220">
        <v>1</v>
      </c>
      <c r="BU74" s="215">
        <v>0.5</v>
      </c>
    </row>
    <row r="75" spans="3:73" x14ac:dyDescent="0.25">
      <c r="N75" s="2" t="s">
        <v>71</v>
      </c>
      <c r="O75" s="20" t="s">
        <v>54</v>
      </c>
      <c r="P75" s="20" t="s">
        <v>54</v>
      </c>
      <c r="Q75" s="20">
        <v>1</v>
      </c>
      <c r="R75" s="20">
        <v>1</v>
      </c>
      <c r="S75" s="82">
        <v>1</v>
      </c>
      <c r="AC75" s="138" t="s">
        <v>54</v>
      </c>
      <c r="AD75" s="35"/>
      <c r="AE75" s="131"/>
      <c r="AF75" s="160"/>
      <c r="AG75" s="161"/>
      <c r="AH75" s="291" t="s">
        <v>54</v>
      </c>
      <c r="AI75" s="5"/>
      <c r="AJ75" s="131"/>
      <c r="AK75" s="160"/>
      <c r="AL75" s="48"/>
      <c r="AM75" s="149" t="s">
        <v>72</v>
      </c>
      <c r="AN75" s="170">
        <v>115</v>
      </c>
      <c r="AO75" s="213">
        <v>1.5</v>
      </c>
      <c r="AP75" s="220">
        <v>1</v>
      </c>
      <c r="AQ75" s="215">
        <v>0.5</v>
      </c>
      <c r="AR75" s="5" t="s">
        <v>54</v>
      </c>
      <c r="AS75" s="122"/>
      <c r="AT75" s="5"/>
      <c r="AU75" s="35"/>
      <c r="AV75" s="156"/>
      <c r="AW75" s="149" t="s">
        <v>54</v>
      </c>
      <c r="AX75" s="122"/>
      <c r="AY75" s="5"/>
      <c r="AZ75" s="35"/>
      <c r="BA75" s="176">
        <v>0.3</v>
      </c>
      <c r="BB75" s="5" t="s">
        <v>69</v>
      </c>
      <c r="BC75" s="170">
        <v>170</v>
      </c>
      <c r="BD75" s="213">
        <v>1.5</v>
      </c>
      <c r="BE75" s="220">
        <v>1</v>
      </c>
      <c r="BF75" s="213">
        <v>0.5</v>
      </c>
      <c r="BG75" s="149" t="s">
        <v>54</v>
      </c>
      <c r="BH75" s="122"/>
      <c r="BI75" s="48"/>
      <c r="BJ75" s="160"/>
      <c r="BK75" s="176">
        <v>0.3</v>
      </c>
      <c r="BL75" s="5" t="s">
        <v>37</v>
      </c>
      <c r="BM75" s="170">
        <v>300</v>
      </c>
      <c r="BN75" s="213">
        <v>1.5</v>
      </c>
      <c r="BO75" s="220">
        <v>1</v>
      </c>
      <c r="BP75" s="213">
        <v>0.5</v>
      </c>
      <c r="BQ75" s="149" t="s">
        <v>38</v>
      </c>
      <c r="BR75" s="170">
        <v>480</v>
      </c>
      <c r="BS75" s="213">
        <v>1.5</v>
      </c>
      <c r="BT75" s="220">
        <v>1</v>
      </c>
      <c r="BU75" s="215">
        <v>0.5</v>
      </c>
    </row>
    <row r="76" spans="3:73" x14ac:dyDescent="0.25">
      <c r="N76" s="2" t="s">
        <v>164</v>
      </c>
      <c r="O76" s="200" t="s">
        <v>54</v>
      </c>
      <c r="P76" s="200" t="s">
        <v>54</v>
      </c>
      <c r="Q76" s="200"/>
      <c r="R76" s="200"/>
      <c r="S76" s="199"/>
      <c r="AA76" s="198"/>
      <c r="AC76" s="138">
        <v>0</v>
      </c>
      <c r="AD76" s="219"/>
      <c r="AE76" s="131"/>
      <c r="AF76" s="160"/>
      <c r="AG76" s="161"/>
      <c r="AH76" s="291">
        <v>0</v>
      </c>
      <c r="AI76" s="218"/>
      <c r="AJ76" s="131"/>
      <c r="AK76" s="160"/>
      <c r="AL76" s="48"/>
      <c r="AM76" s="149">
        <v>0</v>
      </c>
      <c r="AN76" s="216"/>
      <c r="AO76" s="213"/>
      <c r="AP76" s="214"/>
      <c r="AQ76" s="215"/>
      <c r="AR76" s="5">
        <v>0</v>
      </c>
      <c r="AS76" s="218"/>
      <c r="AT76" s="5"/>
      <c r="AU76" s="35"/>
      <c r="AV76" s="156"/>
      <c r="AW76" s="149">
        <v>0</v>
      </c>
      <c r="AX76" s="218"/>
      <c r="AY76" s="5"/>
      <c r="AZ76" s="35"/>
      <c r="BA76" s="176"/>
      <c r="BB76" s="5">
        <v>0</v>
      </c>
      <c r="BC76" s="216"/>
      <c r="BD76" s="213"/>
      <c r="BE76" s="214"/>
      <c r="BF76" s="213"/>
      <c r="BG76" s="149">
        <v>0</v>
      </c>
      <c r="BH76" s="218"/>
      <c r="BI76" s="48"/>
      <c r="BJ76" s="160"/>
      <c r="BK76" s="176"/>
      <c r="BL76" s="5">
        <v>0</v>
      </c>
      <c r="BM76" s="216"/>
      <c r="BN76" s="213"/>
      <c r="BO76" s="214"/>
      <c r="BP76" s="213"/>
      <c r="BQ76" s="149">
        <v>0</v>
      </c>
      <c r="BR76" s="216"/>
      <c r="BS76" s="213"/>
      <c r="BT76" s="214"/>
      <c r="BU76" s="215"/>
    </row>
    <row r="77" spans="3:73" ht="15.75" thickBot="1" x14ac:dyDescent="0.3">
      <c r="D77" s="213">
        <v>1.5</v>
      </c>
      <c r="N77" s="2" t="s">
        <v>165</v>
      </c>
      <c r="O77" s="246" t="s">
        <v>54</v>
      </c>
      <c r="P77" s="246" t="s">
        <v>54</v>
      </c>
      <c r="Q77" s="246">
        <v>1</v>
      </c>
      <c r="R77" s="246">
        <v>1</v>
      </c>
      <c r="S77" s="245">
        <v>1</v>
      </c>
      <c r="AA77" s="244"/>
      <c r="AC77" s="138"/>
      <c r="AD77" s="219"/>
      <c r="AE77" s="131"/>
      <c r="AF77" s="160"/>
      <c r="AG77" s="161"/>
      <c r="AH77" s="291"/>
      <c r="AI77" s="218"/>
      <c r="AJ77" s="131"/>
      <c r="AK77" s="160"/>
      <c r="AL77" s="48"/>
      <c r="AM77" s="149"/>
      <c r="AN77" s="216"/>
      <c r="AO77" s="213"/>
      <c r="AP77" s="214"/>
      <c r="AQ77" s="215"/>
      <c r="AR77" s="5"/>
      <c r="AS77" s="218"/>
      <c r="AT77" s="5"/>
      <c r="AU77" s="35"/>
      <c r="AV77" s="156"/>
      <c r="AW77" s="151"/>
      <c r="AX77" s="332"/>
      <c r="AY77" s="140"/>
      <c r="AZ77" s="112"/>
      <c r="BA77" s="333"/>
      <c r="BB77" s="5"/>
      <c r="BC77" s="216"/>
      <c r="BD77" s="213"/>
      <c r="BE77" s="214"/>
      <c r="BF77" s="213"/>
      <c r="BG77" s="149"/>
      <c r="BH77" s="218"/>
      <c r="BI77" s="48"/>
      <c r="BJ77" s="160"/>
      <c r="BK77" s="176"/>
      <c r="BL77" s="5"/>
      <c r="BM77" s="216"/>
      <c r="BN77" s="213"/>
      <c r="BO77" s="214"/>
      <c r="BP77" s="213"/>
      <c r="BQ77" s="149"/>
      <c r="BR77" s="216"/>
      <c r="BS77" s="213"/>
      <c r="BT77" s="214"/>
      <c r="BU77" s="215"/>
    </row>
    <row r="78" spans="3:73" ht="15.75" thickBot="1" x14ac:dyDescent="0.3">
      <c r="N78" s="2" t="s">
        <v>53</v>
      </c>
      <c r="O78" s="20" t="s">
        <v>54</v>
      </c>
      <c r="P78" s="20" t="s">
        <v>54</v>
      </c>
      <c r="S78" s="82"/>
      <c r="AC78" s="139" t="s">
        <v>54</v>
      </c>
      <c r="AD78" s="112"/>
      <c r="AE78" s="141"/>
      <c r="AF78" s="162"/>
      <c r="AG78" s="163"/>
      <c r="AH78" s="328"/>
      <c r="AI78" s="140"/>
      <c r="AJ78" s="154"/>
      <c r="AK78" s="162"/>
      <c r="AL78" s="331"/>
      <c r="AM78" s="151"/>
      <c r="AN78" s="140"/>
      <c r="AO78" s="184"/>
      <c r="AP78" s="152"/>
      <c r="AQ78" s="142"/>
      <c r="AR78" s="140"/>
      <c r="AS78" s="140"/>
      <c r="AT78" s="154"/>
      <c r="AU78" s="112"/>
      <c r="AV78" s="155"/>
      <c r="AW78" s="151"/>
      <c r="AX78" s="140"/>
      <c r="AY78" s="154"/>
      <c r="AZ78" s="112"/>
      <c r="BA78" s="142"/>
      <c r="BB78" s="151"/>
      <c r="BC78" s="140"/>
      <c r="BD78" s="154"/>
      <c r="BE78" s="152"/>
      <c r="BF78" s="331"/>
      <c r="BG78" s="151"/>
      <c r="BH78" s="140"/>
      <c r="BI78" s="178"/>
      <c r="BJ78" s="162"/>
      <c r="BK78" s="163"/>
      <c r="BL78" s="140"/>
      <c r="BM78" s="140"/>
      <c r="BN78" s="178"/>
      <c r="BO78" s="181"/>
      <c r="BP78" s="140"/>
      <c r="BQ78" s="151"/>
      <c r="BR78" s="140"/>
      <c r="BS78" s="178"/>
      <c r="BT78" s="162"/>
      <c r="BU78" s="142"/>
    </row>
    <row r="79" spans="3:73" x14ac:dyDescent="0.25">
      <c r="D79" s="220">
        <v>1</v>
      </c>
      <c r="AC79" s="129"/>
      <c r="AE79" s="85"/>
      <c r="AF79"/>
      <c r="AH79" s="83"/>
      <c r="AI79"/>
      <c r="AJ79" s="85"/>
      <c r="AL79"/>
      <c r="AP79" s="85"/>
      <c r="AR79"/>
      <c r="AT79" s="85"/>
      <c r="AU79"/>
      <c r="AV79" s="85"/>
      <c r="AX79"/>
      <c r="AY79" s="85"/>
      <c r="BD79" s="85"/>
      <c r="BE79" s="85"/>
      <c r="BI79" s="85"/>
      <c r="BN79" s="183"/>
      <c r="BS79" s="85"/>
    </row>
    <row r="80" spans="3:73" x14ac:dyDescent="0.25">
      <c r="N80">
        <v>6</v>
      </c>
      <c r="O80" s="60" t="str">
        <f>INDEX(O46:O78,N80)</f>
        <v xml:space="preserve"> </v>
      </c>
      <c r="P80" s="60" t="str">
        <f>INDEX(P46:P78,N80)</f>
        <v xml:space="preserve"> </v>
      </c>
      <c r="Q80" s="60">
        <f>INDEX(Q46:Q78,N80)</f>
        <v>1</v>
      </c>
      <c r="R80" s="60">
        <f>INDEX(R46:R78,N80)</f>
        <v>1</v>
      </c>
      <c r="S80" s="95">
        <f>INDEX(S46:S78,N80)</f>
        <v>0</v>
      </c>
      <c r="V80">
        <v>2</v>
      </c>
      <c r="W80" s="5">
        <f>INDEX(W46:W54,V80)</f>
        <v>80</v>
      </c>
      <c r="X80" s="2" t="str">
        <f>INDEX(X46:X54,V80)</f>
        <v>80 g/qm</v>
      </c>
      <c r="Y80" s="2">
        <f>INDEX(Y46:Y54,V80)</f>
        <v>16.5</v>
      </c>
      <c r="Z80" s="2">
        <f>INDEX(Z46:Z54,V80)</f>
        <v>15.399999999999999</v>
      </c>
      <c r="AA80" s="2">
        <f>INDEX(AA46:AA54,V80)</f>
        <v>14.3</v>
      </c>
      <c r="AC80" s="129" t="str">
        <f>INDEX(AC46:AC78,N80)</f>
        <v xml:space="preserve"> </v>
      </c>
      <c r="AD80" s="130">
        <f>INDEX(AD46:AD78,N80)</f>
        <v>0</v>
      </c>
      <c r="AE80" s="164">
        <f>INDEX(AE46:AE78,N80)</f>
        <v>0</v>
      </c>
      <c r="AF80" s="165">
        <f>INDEX(AF46:AF78,N80)</f>
        <v>0</v>
      </c>
      <c r="AG80" s="165">
        <f>INDEX(AG46:AG78,N80)</f>
        <v>0</v>
      </c>
      <c r="AH80" s="83" t="str">
        <f>INDEX(AH46:AH78,N80)</f>
        <v>80 g/qm</v>
      </c>
      <c r="AI80" s="127">
        <f>INDEX(AI46:AI78,N80)</f>
        <v>11</v>
      </c>
      <c r="AJ80" s="164">
        <f>INDEX(AJ46:AJ78,N80)</f>
        <v>0.5</v>
      </c>
      <c r="AK80" s="165">
        <f>INDEX(AK46:AK78,N80)</f>
        <v>0.4</v>
      </c>
      <c r="AL80" s="165">
        <f>INDEX(AL46:AL78,N80)</f>
        <v>0.3</v>
      </c>
      <c r="AM80" t="str">
        <f>INDEX(AM46:AM78,N80)</f>
        <v>90 g/qm</v>
      </c>
      <c r="AN80" s="83">
        <f>INDEX(AN46:AN78,N80)</f>
        <v>13.3</v>
      </c>
      <c r="AO80" s="164">
        <f>INDEX(AO46:AO78,N80)</f>
        <v>0.5</v>
      </c>
      <c r="AP80" s="165">
        <f>INDEX(AP46:AP78,N80)</f>
        <v>0.4</v>
      </c>
      <c r="AQ80" s="165">
        <f>INDEX(AQ46:AQ78,N80)</f>
        <v>0.3</v>
      </c>
      <c r="AR80" t="str">
        <f>INDEX(AR46:AR78,N80)</f>
        <v>100 g/qm</v>
      </c>
      <c r="AS80" s="83">
        <f>INDEX(AS46:AS78,N80)</f>
        <v>14.75</v>
      </c>
      <c r="AT80" s="164">
        <f>INDEX(AT46:AT78,N80)</f>
        <v>0.5</v>
      </c>
      <c r="AU80" s="165">
        <f>INDEX(AU46:AU78,N80)</f>
        <v>0.4</v>
      </c>
      <c r="AV80" s="165">
        <f>INDEX(AV46:AV78,N80)</f>
        <v>0.3</v>
      </c>
      <c r="AW80" t="str">
        <f>INDEX(AW46:AW78,N80)</f>
        <v>120 g/qm</v>
      </c>
      <c r="AX80" s="83">
        <f>INDEX(AX46:AX78,N80)</f>
        <v>17.75</v>
      </c>
      <c r="AY80" s="165">
        <f>INDEX(AY46:AY78,N80)</f>
        <v>0.5</v>
      </c>
      <c r="AZ80" s="165">
        <f>INDEX(AZ46:AZ78,N80)</f>
        <v>0.4</v>
      </c>
      <c r="BA80" s="165">
        <f>INDEX(BA46:BA78,N80)</f>
        <v>0.3</v>
      </c>
      <c r="BB80" t="str">
        <f>INDEX(BB46:BB78,N80)</f>
        <v>160 g/m</v>
      </c>
      <c r="BC80" s="83">
        <f>INDEX(BC46:BC78,N80)</f>
        <v>31</v>
      </c>
      <c r="BD80" s="165">
        <f>INDEX(BD46:BD78,N80)</f>
        <v>0.5</v>
      </c>
      <c r="BE80" s="165">
        <f>INDEX(BE46:BE78,N80)</f>
        <v>0.4</v>
      </c>
      <c r="BF80" s="165">
        <f>INDEX(BF46:BF78,N80)</f>
        <v>0.3</v>
      </c>
      <c r="BG80" t="str">
        <f>INDEX(BG46:BG78,N80)</f>
        <v xml:space="preserve"> </v>
      </c>
      <c r="BH80" s="83">
        <f>INDEX(BH46:BH78,N80)</f>
        <v>0</v>
      </c>
      <c r="BI80" s="165">
        <f>INDEX(BI46:BI78,N80)</f>
        <v>0</v>
      </c>
      <c r="BJ80" s="165">
        <f>INDEX(BJ46:BJ78,N80)</f>
        <v>0</v>
      </c>
      <c r="BK80" s="165">
        <f>INDEX(BK46:BK78,N80)</f>
        <v>0.4</v>
      </c>
      <c r="BL80" t="str">
        <f>INDEX(BL46:BL78,N80)</f>
        <v>250 g/qm</v>
      </c>
      <c r="BM80" s="83">
        <f>INDEX(BM46:BM78,N80)</f>
        <v>52.25</v>
      </c>
      <c r="BN80" s="165">
        <f>INDEX(BN46:BN78,N80)</f>
        <v>0.5</v>
      </c>
      <c r="BO80" s="165">
        <f>INDEX(BO46:BO78,N80)</f>
        <v>0.4</v>
      </c>
      <c r="BP80" s="165">
        <f>INDEX(BP46:BP78,N80)</f>
        <v>0.3</v>
      </c>
      <c r="BQ80" t="str">
        <f>INDEX(BQ46:BQ78,N80)</f>
        <v>300 g/qm</v>
      </c>
      <c r="BR80" s="83">
        <f>INDEX(BR46:BR78,N80)</f>
        <v>76.2</v>
      </c>
      <c r="BS80" s="165">
        <f>INDEX(BS46:BS78,N80)</f>
        <v>1</v>
      </c>
      <c r="BT80" s="165">
        <f>INDEX(BT46:BT78,N80)</f>
        <v>0.7</v>
      </c>
      <c r="BU80" s="165">
        <f>INDEX(BU46:BU78,N80)</f>
        <v>0.4</v>
      </c>
    </row>
    <row r="81" spans="2:73" ht="15.75" thickBot="1" x14ac:dyDescent="0.3">
      <c r="D81" s="215">
        <v>0.5</v>
      </c>
      <c r="J81" t="s">
        <v>86</v>
      </c>
      <c r="K81" t="s">
        <v>89</v>
      </c>
      <c r="L81" t="s">
        <v>88</v>
      </c>
      <c r="N81" s="43" t="s">
        <v>84</v>
      </c>
      <c r="O81" s="20">
        <f>IF(O80=" ",1,2)</f>
        <v>1</v>
      </c>
      <c r="V81" s="80"/>
      <c r="AC81" s="129"/>
      <c r="AE81" s="167">
        <f>AD80*(1+AE80)</f>
        <v>0</v>
      </c>
      <c r="AF81" s="166">
        <f>AD80*(1+AF80)</f>
        <v>0</v>
      </c>
      <c r="AG81" s="166">
        <f>AD80*(1+AG80)</f>
        <v>0</v>
      </c>
      <c r="AH81" s="83"/>
      <c r="AI81"/>
      <c r="AJ81" s="167">
        <f>AI80*(1+AJ80)</f>
        <v>16.5</v>
      </c>
      <c r="AK81" s="166">
        <f>AI80*(1+AK80)</f>
        <v>15.399999999999999</v>
      </c>
      <c r="AL81" s="166">
        <f>AI80*(1+AL80)</f>
        <v>14.3</v>
      </c>
      <c r="AO81" s="166">
        <f>AN80*(1+AO80)</f>
        <v>19.950000000000003</v>
      </c>
      <c r="AP81" s="167">
        <f>AN80*(1+AP80)</f>
        <v>18.62</v>
      </c>
      <c r="AQ81" s="167">
        <f>AN80*(1+AQ80)</f>
        <v>17.290000000000003</v>
      </c>
      <c r="AR81"/>
      <c r="AS81" s="85"/>
      <c r="AT81" s="168">
        <f>AS80*(1+AT80)</f>
        <v>22.125</v>
      </c>
      <c r="AU81" s="167">
        <f>AS80*(1+AU80)</f>
        <v>20.65</v>
      </c>
      <c r="AV81" s="167">
        <f>AS80*(1+AV80)</f>
        <v>19.175000000000001</v>
      </c>
      <c r="AX81"/>
      <c r="AY81" s="167">
        <f>AX80*(1+AY80)</f>
        <v>26.625</v>
      </c>
      <c r="AZ81" s="167">
        <f>AX80*(1+AZ80)</f>
        <v>24.849999999999998</v>
      </c>
      <c r="BA81" s="167">
        <f>AX80*(1+BA80)</f>
        <v>23.074999999999999</v>
      </c>
      <c r="BD81" s="166">
        <f>BC80*(1+BD80)</f>
        <v>46.5</v>
      </c>
      <c r="BE81" s="167">
        <f>BC80*(1+BE80)</f>
        <v>43.4</v>
      </c>
      <c r="BF81" s="167">
        <f>BC80*(1+BF80)</f>
        <v>40.300000000000004</v>
      </c>
      <c r="BI81" s="167">
        <f>BH80*(1+BI80)</f>
        <v>0</v>
      </c>
      <c r="BJ81" s="167">
        <f>BH80*(1+BJ80)</f>
        <v>0</v>
      </c>
      <c r="BK81" s="167">
        <f>BH80*(1+BK80)</f>
        <v>0</v>
      </c>
      <c r="BN81" s="167">
        <f>BM80*(1+BN80)</f>
        <v>78.375</v>
      </c>
      <c r="BO81" s="167">
        <f>BM80*(1+BO80)</f>
        <v>73.149999999999991</v>
      </c>
      <c r="BP81" s="167">
        <f>BM80*(1+BP80)</f>
        <v>67.924999999999997</v>
      </c>
      <c r="BS81" s="167">
        <f>BR80*(1+BS80)</f>
        <v>152.4</v>
      </c>
      <c r="BT81" s="167">
        <f>BR80*(1+BT80)</f>
        <v>129.54</v>
      </c>
      <c r="BU81" s="167">
        <f>BR80*(1+BU80)</f>
        <v>106.67999999999999</v>
      </c>
    </row>
    <row r="82" spans="2:73" ht="15.75" thickBot="1" x14ac:dyDescent="0.3">
      <c r="B82" t="s">
        <v>7</v>
      </c>
      <c r="D82" s="315" t="s">
        <v>165</v>
      </c>
      <c r="G82" s="130" t="s">
        <v>9</v>
      </c>
      <c r="I82" s="130" t="s">
        <v>1</v>
      </c>
      <c r="K82" s="130" t="s">
        <v>124</v>
      </c>
      <c r="N82" s="73" t="s">
        <v>60</v>
      </c>
      <c r="O82" s="22">
        <f>IF(O80=" ",0,1)</f>
        <v>0</v>
      </c>
      <c r="P82" s="75">
        <f>IF(P80=" ",0,1)</f>
        <v>0</v>
      </c>
      <c r="Q82" s="74">
        <f>IF(O82+P82=0,1,0)</f>
        <v>1</v>
      </c>
      <c r="V82" s="44"/>
      <c r="AF82" s="83"/>
      <c r="AH82" s="85"/>
      <c r="AI82"/>
      <c r="AK82" s="85"/>
      <c r="AL82"/>
      <c r="AN82" s="85"/>
      <c r="AO82"/>
      <c r="AQ82" s="85"/>
      <c r="AR82"/>
      <c r="AT82" s="85"/>
      <c r="AU82"/>
      <c r="AW82" s="85"/>
      <c r="AX82"/>
      <c r="AZ82" s="85"/>
      <c r="BC82" s="85"/>
    </row>
    <row r="83" spans="2:73" x14ac:dyDescent="0.25">
      <c r="B83">
        <v>1</v>
      </c>
      <c r="C83">
        <f>Y80/1000</f>
        <v>1.6500000000000001E-2</v>
      </c>
      <c r="D83">
        <f>D91*(1+D77)</f>
        <v>0</v>
      </c>
      <c r="G83" s="64">
        <f>SUM(C83:F83)</f>
        <v>1.6500000000000001E-2</v>
      </c>
      <c r="I83" s="46">
        <f>I56</f>
        <v>0</v>
      </c>
      <c r="J83" s="64">
        <f>I83+G83*E62</f>
        <v>4.9500000000000002E-2</v>
      </c>
      <c r="K83" s="64">
        <f>I83+G83*F62</f>
        <v>0</v>
      </c>
      <c r="L83" s="64">
        <f>I83+G83*G62</f>
        <v>0</v>
      </c>
    </row>
    <row r="84" spans="2:73" x14ac:dyDescent="0.25">
      <c r="B84" s="65"/>
      <c r="G84" s="67"/>
    </row>
    <row r="85" spans="2:73" x14ac:dyDescent="0.25">
      <c r="B85" s="65">
        <v>50</v>
      </c>
      <c r="C85">
        <f>Z80/1000</f>
        <v>1.5399999999999999E-2</v>
      </c>
      <c r="D85">
        <f>D91*(1+D79)</f>
        <v>0</v>
      </c>
      <c r="G85" s="67">
        <f>SUM(C85:F85)</f>
        <v>1.5399999999999999E-2</v>
      </c>
      <c r="I85">
        <f>I83+B85*(G83-G85)</f>
        <v>5.5000000000000104E-2</v>
      </c>
      <c r="J85" s="64">
        <f>I85+G85*E62</f>
        <v>0.1012000000000001</v>
      </c>
      <c r="K85" s="64">
        <f>I85+G85*F62</f>
        <v>5.5000000000000104E-2</v>
      </c>
      <c r="L85" s="64">
        <f>I85+G85*G62</f>
        <v>5.5000000000000104E-2</v>
      </c>
      <c r="S85" s="82"/>
    </row>
    <row r="86" spans="2:73" x14ac:dyDescent="0.25">
      <c r="G86" s="64"/>
      <c r="S86" s="127"/>
    </row>
    <row r="87" spans="2:73" x14ac:dyDescent="0.25">
      <c r="B87">
        <v>500</v>
      </c>
      <c r="C87">
        <f>AA80/1000</f>
        <v>1.43E-2</v>
      </c>
      <c r="D87">
        <f>D91*(1+D81)</f>
        <v>0</v>
      </c>
      <c r="G87" s="64">
        <f>SUM(C87:F87)</f>
        <v>1.43E-2</v>
      </c>
      <c r="I87">
        <f t="shared" ref="I87" si="10">I85+B87*(G85-G87)</f>
        <v>0.60499999999999932</v>
      </c>
      <c r="J87" s="64">
        <f>I87+G87*E62</f>
        <v>0.64789999999999937</v>
      </c>
      <c r="K87" s="64">
        <f>I87+G87*F62</f>
        <v>0.60499999999999932</v>
      </c>
      <c r="L87" s="64">
        <f>I87+G87*G62</f>
        <v>0.60499999999999932</v>
      </c>
    </row>
    <row r="88" spans="2:73" x14ac:dyDescent="0.25">
      <c r="J88" s="64"/>
      <c r="K88" s="64"/>
      <c r="L88" s="64"/>
    </row>
    <row r="90" spans="2:73" x14ac:dyDescent="0.25">
      <c r="C90" s="12" t="s">
        <v>204</v>
      </c>
      <c r="D90">
        <f>IF(N80=32,Eingabe1!H13*Eingabe1!F13*0.7/400,0)</f>
        <v>0</v>
      </c>
      <c r="E90" t="s">
        <v>206</v>
      </c>
      <c r="J90" s="126">
        <f>MIN(J83,J85,J87)</f>
        <v>4.9500000000000002E-2</v>
      </c>
      <c r="K90" s="126">
        <f>MIN(K83,K85,K87)</f>
        <v>0</v>
      </c>
      <c r="L90" s="126">
        <f>MIN(L83,L85,L87)</f>
        <v>0</v>
      </c>
    </row>
    <row r="91" spans="2:73" x14ac:dyDescent="0.25">
      <c r="C91" s="12" t="s">
        <v>205</v>
      </c>
      <c r="D91">
        <f>D90/1000</f>
        <v>0</v>
      </c>
      <c r="E91" t="s">
        <v>207</v>
      </c>
    </row>
    <row r="95" spans="2:73" x14ac:dyDescent="0.25">
      <c r="N95" s="88" t="s">
        <v>171</v>
      </c>
      <c r="O95" s="288"/>
      <c r="P95" s="288"/>
      <c r="Q95" s="288"/>
      <c r="R95" s="288"/>
      <c r="S95" s="88"/>
      <c r="T95" s="88"/>
      <c r="U95" s="88"/>
      <c r="V95" s="289"/>
      <c r="W95" s="289"/>
      <c r="X95" s="88"/>
      <c r="Y95" s="289"/>
      <c r="Z95" s="289"/>
      <c r="AA95" s="387"/>
      <c r="AB95" s="289"/>
      <c r="AC95" s="290"/>
      <c r="AD95" s="289"/>
      <c r="AE95" s="89"/>
    </row>
    <row r="96" spans="2:73" x14ac:dyDescent="0.25">
      <c r="N96" s="89" t="s">
        <v>252</v>
      </c>
      <c r="O96" s="62"/>
      <c r="P96" s="62"/>
      <c r="Q96" s="62"/>
      <c r="R96" s="62"/>
      <c r="S96" s="89">
        <v>10</v>
      </c>
      <c r="T96" s="89"/>
      <c r="U96" s="89"/>
      <c r="V96" s="5"/>
      <c r="W96" s="5"/>
      <c r="X96" s="89" t="s">
        <v>54</v>
      </c>
      <c r="Y96" s="5"/>
      <c r="Z96" s="5"/>
      <c r="AA96" s="388"/>
      <c r="AB96" s="5"/>
      <c r="AC96" s="131"/>
      <c r="AD96" s="5"/>
      <c r="AE96" s="89"/>
    </row>
    <row r="97" spans="14:30" x14ac:dyDescent="0.25">
      <c r="N97" s="89" t="s">
        <v>158</v>
      </c>
      <c r="O97" s="62"/>
      <c r="P97" s="62"/>
      <c r="Q97" s="62"/>
      <c r="R97" s="62"/>
      <c r="S97" s="35">
        <v>25</v>
      </c>
      <c r="T97" s="35"/>
      <c r="U97" s="5"/>
      <c r="V97" s="5"/>
      <c r="W97" s="63"/>
      <c r="X97" s="89" t="s">
        <v>148</v>
      </c>
      <c r="Y97" s="5"/>
      <c r="Z97" s="258"/>
      <c r="AA97" s="291"/>
      <c r="AB97" s="5"/>
      <c r="AC97" s="131"/>
      <c r="AD97" s="258"/>
    </row>
    <row r="98" spans="14:30" x14ac:dyDescent="0.25">
      <c r="N98" s="89" t="s">
        <v>159</v>
      </c>
      <c r="O98" s="62"/>
      <c r="P98" s="62"/>
      <c r="Q98" s="62"/>
      <c r="R98" s="62"/>
      <c r="S98" s="35">
        <v>40</v>
      </c>
      <c r="T98" s="35"/>
      <c r="U98" s="5"/>
      <c r="V98" s="5"/>
      <c r="W98" s="63"/>
      <c r="X98" s="89" t="s">
        <v>148</v>
      </c>
      <c r="Y98" s="5"/>
      <c r="Z98" s="258"/>
      <c r="AA98" s="291"/>
      <c r="AB98" s="5"/>
      <c r="AC98" s="131"/>
      <c r="AD98" s="258"/>
    </row>
    <row r="99" spans="14:30" x14ac:dyDescent="0.25">
      <c r="N99" s="89" t="s">
        <v>149</v>
      </c>
      <c r="O99" s="62"/>
      <c r="P99" s="62"/>
      <c r="Q99" s="62"/>
      <c r="R99" s="62"/>
      <c r="S99" s="35">
        <v>35</v>
      </c>
      <c r="T99" s="35"/>
      <c r="U99" s="5"/>
      <c r="V99" s="5"/>
      <c r="W99" s="5"/>
      <c r="X99" s="89" t="s">
        <v>166</v>
      </c>
      <c r="Y99" s="5"/>
      <c r="Z99" s="258"/>
      <c r="AA99" s="291"/>
      <c r="AB99" s="5" t="s">
        <v>192</v>
      </c>
      <c r="AC99" s="131"/>
      <c r="AD99" s="258"/>
    </row>
    <row r="100" spans="14:30" x14ac:dyDescent="0.25">
      <c r="N100" s="89" t="s">
        <v>151</v>
      </c>
      <c r="O100" s="62"/>
      <c r="P100" s="62"/>
      <c r="Q100" s="62"/>
      <c r="R100" s="62"/>
      <c r="S100" s="35">
        <v>65</v>
      </c>
      <c r="T100" s="35"/>
      <c r="U100" s="5"/>
      <c r="V100" s="5"/>
      <c r="W100" s="5"/>
      <c r="X100" s="89" t="s">
        <v>167</v>
      </c>
      <c r="Y100" s="5"/>
      <c r="Z100" s="258"/>
      <c r="AA100" s="291"/>
      <c r="AB100" s="5" t="s">
        <v>192</v>
      </c>
      <c r="AC100" s="131"/>
      <c r="AD100" s="258"/>
    </row>
    <row r="101" spans="14:30" x14ac:dyDescent="0.25">
      <c r="N101" s="89" t="s">
        <v>152</v>
      </c>
      <c r="O101" s="62"/>
      <c r="P101" s="62"/>
      <c r="Q101" s="62"/>
      <c r="R101" s="62"/>
      <c r="S101" s="35">
        <v>130</v>
      </c>
      <c r="T101" s="35"/>
      <c r="U101" s="5"/>
      <c r="V101" s="5"/>
      <c r="W101" s="5"/>
      <c r="X101" s="89" t="s">
        <v>168</v>
      </c>
      <c r="Y101" s="5"/>
      <c r="Z101" s="258"/>
      <c r="AA101" s="291"/>
      <c r="AB101" s="5" t="s">
        <v>192</v>
      </c>
      <c r="AC101" s="131"/>
      <c r="AD101" s="258"/>
    </row>
    <row r="102" spans="14:30" x14ac:dyDescent="0.25">
      <c r="N102" s="89" t="s">
        <v>153</v>
      </c>
      <c r="O102" s="62"/>
      <c r="P102" s="62"/>
      <c r="Q102" s="62"/>
      <c r="R102" s="62"/>
      <c r="S102" s="35">
        <v>10</v>
      </c>
      <c r="T102" s="35">
        <v>2</v>
      </c>
      <c r="U102" s="5"/>
      <c r="V102" s="5"/>
      <c r="W102" s="5"/>
      <c r="X102" s="89" t="s">
        <v>54</v>
      </c>
      <c r="Y102" s="5"/>
      <c r="Z102" s="258"/>
      <c r="AA102" s="291"/>
      <c r="AB102" s="5" t="s">
        <v>192</v>
      </c>
      <c r="AC102" s="131"/>
      <c r="AD102" s="258"/>
    </row>
    <row r="103" spans="14:30" x14ac:dyDescent="0.25">
      <c r="N103" s="89" t="s">
        <v>163</v>
      </c>
      <c r="O103" s="62"/>
      <c r="P103" s="62"/>
      <c r="Q103" s="62"/>
      <c r="R103" s="62"/>
      <c r="S103" s="35">
        <v>35</v>
      </c>
      <c r="T103" s="35">
        <v>1</v>
      </c>
      <c r="U103" s="5"/>
      <c r="V103" s="5"/>
      <c r="W103" s="5"/>
      <c r="X103" s="89" t="s">
        <v>54</v>
      </c>
      <c r="Y103" s="5"/>
      <c r="Z103" s="258"/>
      <c r="AA103" s="291"/>
      <c r="AB103" s="5" t="s">
        <v>193</v>
      </c>
      <c r="AC103" s="131"/>
      <c r="AD103" s="258"/>
    </row>
    <row r="104" spans="14:30" x14ac:dyDescent="0.25">
      <c r="N104" s="89" t="s">
        <v>155</v>
      </c>
      <c r="O104" s="62"/>
      <c r="P104" s="62"/>
      <c r="Q104" s="62"/>
      <c r="R104" s="62"/>
      <c r="S104" s="35">
        <v>60</v>
      </c>
      <c r="T104" s="35">
        <v>1</v>
      </c>
      <c r="U104" s="5"/>
      <c r="V104" s="5"/>
      <c r="W104" s="5"/>
      <c r="X104" s="89" t="s">
        <v>170</v>
      </c>
      <c r="Y104" s="5"/>
      <c r="Z104" s="258"/>
      <c r="AA104" s="291"/>
      <c r="AB104" s="5" t="s">
        <v>193</v>
      </c>
      <c r="AC104" s="131"/>
      <c r="AD104" s="258"/>
    </row>
    <row r="105" spans="14:30" x14ac:dyDescent="0.25">
      <c r="N105" s="89" t="s">
        <v>156</v>
      </c>
      <c r="O105" s="62"/>
      <c r="P105" s="62"/>
      <c r="Q105" s="62"/>
      <c r="R105" s="62"/>
      <c r="S105" s="35">
        <v>80</v>
      </c>
      <c r="T105" s="35">
        <v>1</v>
      </c>
      <c r="U105" s="5"/>
      <c r="V105" s="5"/>
      <c r="W105" s="5"/>
      <c r="X105" s="89" t="s">
        <v>169</v>
      </c>
      <c r="Y105" s="5"/>
      <c r="Z105" s="258"/>
      <c r="AA105" s="291"/>
      <c r="AB105" s="5" t="s">
        <v>193</v>
      </c>
      <c r="AC105" s="131"/>
      <c r="AD105" s="258"/>
    </row>
    <row r="106" spans="14:30" x14ac:dyDescent="0.25">
      <c r="N106" s="89"/>
      <c r="O106" s="62"/>
      <c r="P106" s="62"/>
      <c r="Q106" s="62"/>
      <c r="R106" s="62"/>
      <c r="S106" s="35"/>
      <c r="T106" s="35"/>
      <c r="U106" s="5"/>
      <c r="V106" s="5"/>
      <c r="W106" s="5"/>
      <c r="X106" s="89"/>
      <c r="Y106" s="5"/>
      <c r="Z106" s="258"/>
      <c r="AA106" s="291"/>
      <c r="AB106" s="5"/>
      <c r="AC106" s="131"/>
      <c r="AD106" s="258"/>
    </row>
    <row r="107" spans="14:30" x14ac:dyDescent="0.25">
      <c r="N107" s="89"/>
      <c r="O107" s="62"/>
      <c r="P107" s="62"/>
      <c r="Q107" s="62"/>
      <c r="R107" s="62"/>
      <c r="S107" s="35"/>
      <c r="T107" s="35"/>
      <c r="U107" s="5"/>
      <c r="V107" s="5"/>
      <c r="W107" s="5"/>
      <c r="X107" s="89"/>
      <c r="Y107" s="5"/>
      <c r="Z107" s="258"/>
      <c r="AA107" s="291"/>
      <c r="AB107" s="5"/>
      <c r="AC107" s="131"/>
      <c r="AD107" s="258"/>
    </row>
    <row r="108" spans="14:30" x14ac:dyDescent="0.25">
      <c r="N108" s="89"/>
      <c r="O108" s="62"/>
      <c r="P108" s="62"/>
      <c r="Q108" s="62"/>
      <c r="R108" s="62"/>
      <c r="S108" s="35"/>
      <c r="T108" s="35"/>
      <c r="U108" s="5"/>
      <c r="V108" s="5"/>
      <c r="W108" s="5"/>
      <c r="X108" s="89"/>
      <c r="Y108" s="5"/>
      <c r="Z108" s="258"/>
      <c r="AA108" s="291"/>
      <c r="AB108" s="5"/>
      <c r="AC108" s="131"/>
      <c r="AD108" s="258"/>
    </row>
    <row r="109" spans="14:30" x14ac:dyDescent="0.25">
      <c r="N109" s="89"/>
      <c r="O109" s="62"/>
      <c r="P109" s="62"/>
      <c r="Q109" s="62"/>
      <c r="R109" s="62"/>
      <c r="S109" s="35"/>
      <c r="T109" s="35"/>
      <c r="U109" s="5"/>
      <c r="V109" s="5"/>
      <c r="W109" s="5"/>
      <c r="X109" s="89"/>
      <c r="Y109" s="5"/>
      <c r="Z109" s="258"/>
      <c r="AA109" s="291"/>
      <c r="AB109" s="5"/>
      <c r="AC109" s="131"/>
      <c r="AD109" s="258"/>
    </row>
    <row r="110" spans="14:30" x14ac:dyDescent="0.25">
      <c r="N110" s="89"/>
      <c r="O110" s="62"/>
      <c r="P110" s="62"/>
      <c r="Q110" s="62"/>
      <c r="R110" s="62"/>
      <c r="S110" s="35"/>
      <c r="T110" s="35"/>
      <c r="U110" s="5"/>
      <c r="V110" s="5"/>
      <c r="W110" s="5"/>
      <c r="X110" s="89"/>
      <c r="Y110" s="5"/>
      <c r="Z110" s="258"/>
      <c r="AA110" s="291"/>
      <c r="AB110" s="5"/>
      <c r="AC110" s="131"/>
      <c r="AD110" s="258"/>
    </row>
    <row r="111" spans="14:30" x14ac:dyDescent="0.25">
      <c r="N111" s="89"/>
      <c r="O111" s="62"/>
      <c r="P111" s="62"/>
      <c r="Q111" s="62"/>
      <c r="R111" s="62"/>
      <c r="S111" s="35"/>
      <c r="T111" s="35"/>
      <c r="U111" s="5"/>
      <c r="V111" s="5"/>
      <c r="W111" s="5"/>
      <c r="X111" s="89"/>
      <c r="Y111" s="5"/>
      <c r="Z111" s="258"/>
      <c r="AA111" s="291"/>
      <c r="AB111" s="5"/>
      <c r="AC111" s="131"/>
      <c r="AD111" s="258"/>
    </row>
    <row r="112" spans="14:30" x14ac:dyDescent="0.25">
      <c r="N112" s="89"/>
      <c r="O112" s="62"/>
      <c r="P112" s="62"/>
      <c r="Q112" s="62"/>
      <c r="R112" s="62"/>
      <c r="S112" s="35"/>
      <c r="T112" s="35"/>
      <c r="U112" s="5"/>
      <c r="V112" s="5"/>
      <c r="W112" s="5"/>
      <c r="X112" s="89"/>
      <c r="Y112" s="5"/>
      <c r="Z112" s="258"/>
      <c r="AA112" s="291"/>
      <c r="AB112" s="5"/>
      <c r="AC112" s="131"/>
      <c r="AD112" s="258"/>
    </row>
    <row r="113" spans="14:34" x14ac:dyDescent="0.25">
      <c r="N113" s="89"/>
      <c r="O113" s="62"/>
      <c r="P113" s="62"/>
      <c r="Q113" s="62"/>
      <c r="R113" s="62"/>
      <c r="S113" s="35"/>
      <c r="T113" s="35"/>
      <c r="U113" s="5"/>
      <c r="V113" s="5"/>
      <c r="W113" s="5"/>
      <c r="X113" s="89"/>
      <c r="Y113" s="5"/>
      <c r="Z113" s="258"/>
      <c r="AA113" s="291"/>
      <c r="AB113" s="5"/>
      <c r="AC113" s="131"/>
      <c r="AD113" s="258"/>
    </row>
    <row r="114" spans="14:34" x14ac:dyDescent="0.25">
      <c r="N114" s="89"/>
      <c r="O114" s="62"/>
      <c r="P114" s="62"/>
      <c r="Q114" s="62"/>
      <c r="R114" s="62"/>
      <c r="S114" s="35"/>
      <c r="T114" s="35"/>
      <c r="U114" s="5"/>
      <c r="V114" s="5"/>
      <c r="W114" s="5"/>
      <c r="X114" s="89"/>
      <c r="Y114" s="5"/>
      <c r="Z114" s="258"/>
      <c r="AA114" s="291"/>
      <c r="AB114" s="5"/>
      <c r="AC114" s="131"/>
      <c r="AD114" s="258"/>
    </row>
    <row r="115" spans="14:34" x14ac:dyDescent="0.25">
      <c r="N115" s="89"/>
      <c r="O115" s="62"/>
      <c r="P115" s="62"/>
      <c r="Q115" s="62"/>
      <c r="R115" s="62"/>
      <c r="S115" s="35"/>
      <c r="T115" s="35"/>
      <c r="U115" s="5"/>
      <c r="V115" s="5"/>
      <c r="W115" s="5"/>
      <c r="X115" s="89"/>
      <c r="Y115" s="5"/>
      <c r="Z115" s="258"/>
      <c r="AA115" s="291"/>
      <c r="AB115" s="5"/>
      <c r="AC115" s="131"/>
      <c r="AD115" s="258"/>
    </row>
    <row r="116" spans="14:34" x14ac:dyDescent="0.25">
      <c r="N116" s="89"/>
      <c r="O116" s="62"/>
      <c r="P116" s="62"/>
      <c r="Q116" s="62"/>
      <c r="R116" s="62"/>
      <c r="S116" s="35"/>
      <c r="T116" s="35"/>
      <c r="U116" s="5"/>
      <c r="V116" s="5"/>
      <c r="W116" s="5"/>
      <c r="X116" s="89"/>
      <c r="Y116" s="5"/>
      <c r="Z116" s="258"/>
      <c r="AA116" s="291"/>
      <c r="AB116" s="5"/>
      <c r="AC116" s="131"/>
      <c r="AD116" s="258"/>
    </row>
    <row r="117" spans="14:34" x14ac:dyDescent="0.25">
      <c r="N117" s="4">
        <v>2</v>
      </c>
      <c r="O117" s="292"/>
      <c r="P117" s="292"/>
      <c r="Q117" s="292"/>
      <c r="R117" s="292"/>
      <c r="S117" s="2">
        <f>INDEX(S95:S116,N117)</f>
        <v>10</v>
      </c>
      <c r="T117" s="2">
        <f>INDEX(T95:T116,N117)</f>
        <v>0</v>
      </c>
      <c r="U117" s="9"/>
      <c r="V117" s="9"/>
      <c r="W117" s="293"/>
      <c r="X117" s="4" t="str">
        <f>INDEX(X95:X116,N117)</f>
        <v xml:space="preserve"> </v>
      </c>
      <c r="Y117" s="9"/>
      <c r="Z117" s="3"/>
      <c r="AA117" s="294"/>
      <c r="AB117" s="2">
        <f>INDEX(AB95:AB116,N117)</f>
        <v>0</v>
      </c>
      <c r="AC117" s="111"/>
      <c r="AD117" s="3"/>
    </row>
    <row r="119" spans="14:34" x14ac:dyDescent="0.25">
      <c r="S119" s="12" t="s">
        <v>194</v>
      </c>
      <c r="T119">
        <f>IF(E49=1,Preise!C15,Preise!E15)</f>
        <v>8</v>
      </c>
    </row>
    <row r="124" spans="14:34" x14ac:dyDescent="0.25">
      <c r="AC124" s="83"/>
      <c r="AE124" s="85"/>
      <c r="AF124" s="285" t="s">
        <v>95</v>
      </c>
      <c r="AG124" s="285"/>
      <c r="AH124" s="285"/>
    </row>
    <row r="125" spans="14:34" x14ac:dyDescent="0.25">
      <c r="Z125" t="s">
        <v>178</v>
      </c>
      <c r="AC125" s="83" t="s">
        <v>191</v>
      </c>
      <c r="AE125" s="85"/>
      <c r="AF125" s="285">
        <v>1</v>
      </c>
      <c r="AG125" s="285">
        <v>2</v>
      </c>
      <c r="AH125" s="95">
        <v>3</v>
      </c>
    </row>
    <row r="126" spans="14:34" x14ac:dyDescent="0.25">
      <c r="N126" t="s">
        <v>54</v>
      </c>
      <c r="X126" t="s">
        <v>54</v>
      </c>
      <c r="AC126" s="83"/>
      <c r="AE126" s="85"/>
      <c r="AF126"/>
      <c r="AH126" s="85"/>
    </row>
    <row r="127" spans="14:34" x14ac:dyDescent="0.25">
      <c r="N127" t="s">
        <v>160</v>
      </c>
      <c r="S127">
        <v>35</v>
      </c>
      <c r="X127" t="s">
        <v>182</v>
      </c>
      <c r="AC127" s="83"/>
      <c r="AE127" s="85"/>
      <c r="AF127"/>
      <c r="AH127" s="85"/>
    </row>
    <row r="128" spans="14:34" x14ac:dyDescent="0.25">
      <c r="N128" t="s">
        <v>161</v>
      </c>
      <c r="S128">
        <v>65</v>
      </c>
      <c r="X128" t="s">
        <v>183</v>
      </c>
      <c r="Z128">
        <v>1</v>
      </c>
      <c r="AA128" s="83">
        <v>1</v>
      </c>
      <c r="AB128">
        <v>1</v>
      </c>
      <c r="AC128" s="83"/>
      <c r="AE128" s="85"/>
      <c r="AF128"/>
      <c r="AH128" s="85"/>
    </row>
    <row r="129" spans="14:34" x14ac:dyDescent="0.25">
      <c r="N129" t="s">
        <v>162</v>
      </c>
      <c r="S129">
        <v>130</v>
      </c>
      <c r="X129" t="s">
        <v>184</v>
      </c>
      <c r="AC129" s="83"/>
      <c r="AE129" s="85"/>
      <c r="AF129"/>
      <c r="AH129" s="85"/>
    </row>
    <row r="130" spans="14:34" x14ac:dyDescent="0.25">
      <c r="N130" t="s">
        <v>179</v>
      </c>
      <c r="S130">
        <v>6</v>
      </c>
      <c r="X130" t="s">
        <v>186</v>
      </c>
      <c r="Z130">
        <f>CEILING(AF131,1.9)/1.9</f>
        <v>1</v>
      </c>
      <c r="AA130">
        <f t="shared" ref="AA130:AB130" si="11">CEILING(AG131,1.9)/1.9</f>
        <v>0</v>
      </c>
      <c r="AB130">
        <f t="shared" si="11"/>
        <v>0</v>
      </c>
      <c r="AC130" s="83">
        <v>6.5</v>
      </c>
      <c r="AE130" s="85"/>
      <c r="AF130"/>
      <c r="AH130" s="85"/>
    </row>
    <row r="131" spans="14:34" x14ac:dyDescent="0.25">
      <c r="N131" t="s">
        <v>253</v>
      </c>
      <c r="S131">
        <v>3</v>
      </c>
      <c r="X131" t="s">
        <v>185</v>
      </c>
      <c r="Y131" s="12" t="s">
        <v>189</v>
      </c>
      <c r="Z131">
        <f>CEILING(AF131,27.5)/27.5</f>
        <v>1</v>
      </c>
      <c r="AA131">
        <f t="shared" ref="AA131:AB131" si="12">CEILING(AG131,27.5)/27.5</f>
        <v>0</v>
      </c>
      <c r="AB131">
        <f t="shared" si="12"/>
        <v>0</v>
      </c>
      <c r="AC131" s="83">
        <v>8.5</v>
      </c>
      <c r="AE131" s="85" t="s">
        <v>190</v>
      </c>
      <c r="AF131" s="286">
        <f>E60*W80/8000</f>
        <v>0.01</v>
      </c>
      <c r="AG131" s="286">
        <f>F60*W80/8000</f>
        <v>0</v>
      </c>
      <c r="AH131" s="286">
        <f>G60*W80/8000</f>
        <v>0</v>
      </c>
    </row>
    <row r="132" spans="14:34" x14ac:dyDescent="0.25">
      <c r="X132" t="s">
        <v>187</v>
      </c>
      <c r="Z132">
        <v>1</v>
      </c>
      <c r="AA132" s="83">
        <v>1</v>
      </c>
      <c r="AB132">
        <v>1</v>
      </c>
      <c r="AC132" s="83">
        <f>Eingabe1!F32</f>
        <v>0</v>
      </c>
      <c r="AE132" s="85" t="s">
        <v>190</v>
      </c>
      <c r="AF132"/>
      <c r="AH132" s="85"/>
    </row>
    <row r="133" spans="14:34" x14ac:dyDescent="0.25">
      <c r="X133" t="s">
        <v>188</v>
      </c>
      <c r="Z133">
        <v>1</v>
      </c>
      <c r="AA133" s="12">
        <v>1</v>
      </c>
      <c r="AB133">
        <v>1</v>
      </c>
      <c r="AC133" s="83">
        <v>10</v>
      </c>
      <c r="AE133" s="85"/>
      <c r="AF133"/>
      <c r="AH133" s="85"/>
    </row>
    <row r="147" spans="14:29" x14ac:dyDescent="0.25">
      <c r="N147" t="str">
        <f>INDEX(N126:N146,N148)</f>
        <v xml:space="preserve"> </v>
      </c>
      <c r="S147">
        <f>INDEX(S126:S146,N148)</f>
        <v>0</v>
      </c>
      <c r="X147" t="str">
        <f>INDEX(X126:X146,X148)</f>
        <v xml:space="preserve"> </v>
      </c>
      <c r="Z147">
        <f>INDEX(Z126:Z146,X148)</f>
        <v>0</v>
      </c>
      <c r="AA147">
        <f>INDEX(AA126:AA146,X148)</f>
        <v>0</v>
      </c>
      <c r="AB147">
        <f>INDEX(AB126:AB146,X148)</f>
        <v>0</v>
      </c>
      <c r="AC147">
        <f>INDEX(AC126:AC146,X148)</f>
        <v>0</v>
      </c>
    </row>
    <row r="148" spans="14:29" x14ac:dyDescent="0.25">
      <c r="N148">
        <v>1</v>
      </c>
      <c r="X148">
        <v>1</v>
      </c>
    </row>
    <row r="149" spans="14:29" x14ac:dyDescent="0.25">
      <c r="N149" t="str">
        <f>INDEX(N126:N146,N150)</f>
        <v xml:space="preserve"> </v>
      </c>
      <c r="S149">
        <f>INDEX(S126:S146,N150)</f>
        <v>0</v>
      </c>
    </row>
    <row r="150" spans="14:29" x14ac:dyDescent="0.25">
      <c r="N150">
        <v>1</v>
      </c>
    </row>
  </sheetData>
  <sheetProtection formatCells="0"/>
  <mergeCells count="7">
    <mergeCell ref="F11:G11"/>
    <mergeCell ref="S40:S45"/>
    <mergeCell ref="G47:H47"/>
    <mergeCell ref="W36:W39"/>
    <mergeCell ref="Q40:Q45"/>
    <mergeCell ref="R40:R45"/>
    <mergeCell ref="O44:P44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Eingabe1</vt:lpstr>
      <vt:lpstr>Angebot</vt:lpstr>
      <vt:lpstr>Rechnung</vt:lpstr>
      <vt:lpstr>Lieferschein</vt:lpstr>
      <vt:lpstr>Preise</vt:lpstr>
      <vt:lpstr>Rechner</vt:lpstr>
    </vt:vector>
  </TitlesOfParts>
  <Company>Zypresse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Zypresse</dc:creator>
  <cp:lastModifiedBy>Zypresse</cp:lastModifiedBy>
  <cp:lastPrinted>2020-10-22T12:56:47Z</cp:lastPrinted>
  <dcterms:created xsi:type="dcterms:W3CDTF">2012-06-09T11:06:00Z</dcterms:created>
  <dcterms:modified xsi:type="dcterms:W3CDTF">2021-05-27T08:11:04Z</dcterms:modified>
</cp:coreProperties>
</file>